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pi\users\Alex.Hoskins\Videos\VLS 2.0\"/>
    </mc:Choice>
  </mc:AlternateContent>
  <xr:revisionPtr revIDLastSave="0" documentId="13_ncr:1_{9CB3FEBD-FF4E-4FE7-8130-8335B6CDC4B5}" xr6:coauthVersionLast="45" xr6:coauthVersionMax="45" xr10:uidLastSave="{00000000-0000-0000-0000-000000000000}"/>
  <bookViews>
    <workbookView xWindow="28680" yWindow="-120" windowWidth="29040" windowHeight="15840" xr2:uid="{00000000-000D-0000-FFFF-FFFF00000000}"/>
  </bookViews>
  <sheets>
    <sheet name="VLS" sheetId="1" r:id="rId1"/>
    <sheet name="DISCLAIMER" sheetId="3" r:id="rId2"/>
  </sheets>
  <definedNames>
    <definedName name="eight">Table115[0.008]</definedName>
    <definedName name="eighteen">Table105[0.018]</definedName>
    <definedName name="eleven">Table112[0.011]</definedName>
    <definedName name="fifteen">Table108[0.015]</definedName>
    <definedName name="fifty">Table73[0.05]</definedName>
    <definedName name="fiftyeight">Table64[0.058]</definedName>
    <definedName name="fiftyfive">Table68[0.055]</definedName>
    <definedName name="fiftyfour">Table69[0.054]</definedName>
    <definedName name="fiftynine">Table63[0.059]</definedName>
    <definedName name="fiftyone">Table72[0.051]</definedName>
    <definedName name="fiftyseven">Table65[0.057]</definedName>
    <definedName name="fiftysix">Table66[0.056]</definedName>
    <definedName name="fiftythree">Table70[0.053]</definedName>
    <definedName name="fiftytwo">Table71[0.052]</definedName>
    <definedName name="five">Table118[0.005]</definedName>
    <definedName name="four">Table119[0.004]</definedName>
    <definedName name="fourteen">Table109[0.014]</definedName>
    <definedName name="fourty">Table83[0.04]</definedName>
    <definedName name="fourtyeight">Table75[0.048]</definedName>
    <definedName name="fourtyfive">Table78[0.045]</definedName>
    <definedName name="fourtyfour">Table79[0.044]</definedName>
    <definedName name="fourtynine">Table74[0.049]</definedName>
    <definedName name="fourtyone">Table82[0.041]</definedName>
    <definedName name="fourtyseven">Table76[0.047]</definedName>
    <definedName name="fourtysix">Table77[0.046]</definedName>
    <definedName name="fourtythree">Table80[0.043]</definedName>
    <definedName name="fourtytwo">Table81[0.042]</definedName>
    <definedName name="nine">Table114[0.009]</definedName>
    <definedName name="ninteen">Table104[0.019]</definedName>
    <definedName name="one">Table122[0.001]</definedName>
    <definedName name="seven">Table116[0.007]</definedName>
    <definedName name="seventeen">Table106[0.017]</definedName>
    <definedName name="six">Table117[0.006]</definedName>
    <definedName name="sixteen">Table107[0.016]</definedName>
    <definedName name="sixty">Table62[0.06]</definedName>
    <definedName name="ten">Table113[0.01]</definedName>
    <definedName name="thirteen">Table110[0.013]</definedName>
    <definedName name="thirty">Table93[0.03]</definedName>
    <definedName name="thirtyeight">Table85[0.038]</definedName>
    <definedName name="thirtyfive">Table88[0.035]</definedName>
    <definedName name="thirtyfour">Table89[0.034]</definedName>
    <definedName name="thirtynine">Table84[0.039]</definedName>
    <definedName name="thirtyone">Table92[0.031]</definedName>
    <definedName name="thirtyseven">Table86[0.037]</definedName>
    <definedName name="thirtysix">Table87[0.036]</definedName>
    <definedName name="thirtythree">Table90[0.033]</definedName>
    <definedName name="thirtytwo">Table91[0.032]</definedName>
    <definedName name="three">Table120[0.003]</definedName>
    <definedName name="twelve">Table111[0.012]</definedName>
    <definedName name="twenty">Table103[0.02]</definedName>
    <definedName name="twentyeight">Table95[0.028]</definedName>
    <definedName name="twentyfive">Table98[0.025]</definedName>
    <definedName name="twentyfour">Table99[0.024]</definedName>
    <definedName name="twentynine">Table94[0.029]</definedName>
    <definedName name="twentyone">Table102[0.021]</definedName>
    <definedName name="twentyseven">Table96[0.027]</definedName>
    <definedName name="twentysix">Table97[0.026]</definedName>
    <definedName name="twentythree">Table100[0.023]</definedName>
    <definedName name="twentytwo">Table101[0.022]</definedName>
    <definedName name="two">Table121[0.002]</definedName>
    <definedName name="zero">Table123[0.000]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 l="1"/>
  <c r="K16" i="1"/>
  <c r="K13" i="1"/>
  <c r="K15" i="1"/>
  <c r="I12" i="1"/>
  <c r="I16" i="1"/>
  <c r="I15" i="1"/>
  <c r="K11" i="1"/>
  <c r="K14" i="1"/>
  <c r="K12" i="1"/>
  <c r="I17" i="1"/>
  <c r="I11" i="1"/>
  <c r="I13" i="1"/>
  <c r="I14" i="1"/>
  <c r="CQ80" i="1" l="1"/>
  <c r="CQ82" i="1" s="1"/>
  <c r="CI82" i="1"/>
  <c r="CI81" i="1"/>
  <c r="BO345" i="1" l="1"/>
  <c r="BO185" i="1"/>
  <c r="BO193" i="1" l="1"/>
  <c r="BO187" i="1"/>
  <c r="BO71" i="1" l="1"/>
  <c r="CM9" i="1" l="1"/>
  <c r="CK9" i="1"/>
  <c r="BD315" i="1" l="1"/>
  <c r="BD314" i="1"/>
  <c r="BO347" i="1"/>
  <c r="BD317" i="1"/>
  <c r="AP338" i="1"/>
  <c r="AE329" i="1"/>
  <c r="W343" i="1"/>
  <c r="BO296" i="1" l="1"/>
  <c r="BO278" i="1"/>
  <c r="BO277" i="1"/>
  <c r="BD240" i="1"/>
  <c r="BD222" i="1"/>
  <c r="BD221" i="1"/>
  <c r="AP262" i="1"/>
  <c r="AE248" i="1"/>
  <c r="AE237" i="1" s="1"/>
  <c r="AE236" i="1"/>
  <c r="AE249" i="1" s="1"/>
  <c r="AP243" i="1" l="1"/>
  <c r="AP242" i="1"/>
  <c r="AP241" i="1"/>
  <c r="W249" i="1"/>
  <c r="AE158" i="1"/>
  <c r="AE154" i="1"/>
  <c r="AE155" i="1" s="1"/>
  <c r="AE150" i="1"/>
  <c r="AE146" i="1"/>
  <c r="AE147" i="1"/>
  <c r="AE139" i="1"/>
  <c r="AE140" i="1"/>
  <c r="AE151" i="1"/>
  <c r="AE149" i="1"/>
  <c r="AE142" i="1"/>
  <c r="AE143" i="1" s="1"/>
  <c r="AE148" i="1" l="1"/>
  <c r="AE141" i="1"/>
  <c r="AE156" i="1" s="1"/>
  <c r="AE152" i="1"/>
  <c r="AD163" i="1" s="1"/>
  <c r="AE144" i="1" l="1"/>
  <c r="AE145" i="1" s="1"/>
  <c r="AD164" i="1"/>
  <c r="AE157" i="1"/>
  <c r="AE153" i="1"/>
  <c r="AE240" i="1"/>
  <c r="W263" i="1"/>
  <c r="W247" i="1"/>
  <c r="W248" i="1" s="1"/>
  <c r="W245" i="1"/>
  <c r="W244" i="1"/>
  <c r="BO343" i="1"/>
  <c r="BO344" i="1"/>
  <c r="BO292" i="1"/>
  <c r="BO281" i="1" s="1"/>
  <c r="BO289" i="1"/>
  <c r="BO287" i="1"/>
  <c r="BO280" i="1"/>
  <c r="BO293" i="1" s="1"/>
  <c r="BO279" i="1"/>
  <c r="W259" i="1"/>
  <c r="W250" i="1" s="1"/>
  <c r="AP258" i="1"/>
  <c r="AP246" i="1" s="1"/>
  <c r="W256" i="1"/>
  <c r="AP255" i="1"/>
  <c r="W254" i="1"/>
  <c r="AP253" i="1"/>
  <c r="W260" i="1"/>
  <c r="AP245" i="1"/>
  <c r="AP259" i="1" s="1"/>
  <c r="BD236" i="1"/>
  <c r="BD225" i="1" s="1"/>
  <c r="BD233" i="1"/>
  <c r="BD231" i="1"/>
  <c r="BD224" i="1"/>
  <c r="BD237" i="1" s="1"/>
  <c r="W341" i="1"/>
  <c r="W342" i="1" s="1"/>
  <c r="W339" i="1"/>
  <c r="W338" i="1"/>
  <c r="AP336" i="1"/>
  <c r="AP335" i="1"/>
  <c r="AP334" i="1"/>
  <c r="AE327" i="1"/>
  <c r="AE326" i="1"/>
  <c r="BO346" i="1" l="1"/>
  <c r="AD162" i="1"/>
  <c r="AE159" i="1"/>
  <c r="S120" i="1" s="1"/>
  <c r="W261" i="1"/>
  <c r="W262" i="1" s="1"/>
  <c r="W255" i="1"/>
  <c r="BO282" i="1"/>
  <c r="BO283" i="1" s="1"/>
  <c r="BO294" i="1"/>
  <c r="BO295" i="1" s="1"/>
  <c r="BO288" i="1"/>
  <c r="W251" i="1"/>
  <c r="W252" i="1" s="1"/>
  <c r="AE328" i="1"/>
  <c r="W246" i="1"/>
  <c r="W340" i="1"/>
  <c r="AP244" i="1"/>
  <c r="AP337" i="1"/>
  <c r="BD316" i="1"/>
  <c r="BD223" i="1"/>
  <c r="W253" i="1"/>
  <c r="V269" i="1" l="1"/>
  <c r="BN302" i="1"/>
  <c r="AP260" i="1"/>
  <c r="AP261" i="1" s="1"/>
  <c r="AP247" i="1"/>
  <c r="AP248" i="1" s="1"/>
  <c r="AP254" i="1"/>
  <c r="BO290" i="1"/>
  <c r="BO291" i="1" s="1"/>
  <c r="BN300" i="1"/>
  <c r="V267" i="1"/>
  <c r="W257" i="1"/>
  <c r="W258" i="1" s="1"/>
  <c r="BD238" i="1"/>
  <c r="BC246" i="1" s="1"/>
  <c r="BD226" i="1"/>
  <c r="BD227" i="1" s="1"/>
  <c r="BD232" i="1"/>
  <c r="BO204" i="1"/>
  <c r="BD146" i="1"/>
  <c r="BO197" i="1"/>
  <c r="BO192" i="1"/>
  <c r="BO191" i="1"/>
  <c r="BO196" i="1"/>
  <c r="BO198" i="1" s="1"/>
  <c r="AP160" i="1"/>
  <c r="BO200" i="1"/>
  <c r="BO201" i="1" s="1"/>
  <c r="BO195" i="1"/>
  <c r="BO188" i="1"/>
  <c r="AP151" i="1"/>
  <c r="BO184" i="1"/>
  <c r="BO183" i="1"/>
  <c r="BD139" i="1"/>
  <c r="BD138" i="1"/>
  <c r="BD140" i="1" s="1"/>
  <c r="BD137" i="1"/>
  <c r="AP159" i="1"/>
  <c r="BD135" i="1"/>
  <c r="BD134" i="1"/>
  <c r="BD142" i="1"/>
  <c r="BD143" i="1" s="1"/>
  <c r="BD130" i="1"/>
  <c r="BD131" i="1" s="1"/>
  <c r="BD128" i="1"/>
  <c r="BD127" i="1"/>
  <c r="AP168" i="1"/>
  <c r="AE252" i="1"/>
  <c r="W169" i="1"/>
  <c r="W161" i="1"/>
  <c r="W155" i="1"/>
  <c r="BO77" i="1"/>
  <c r="BO73" i="1"/>
  <c r="BO69" i="1"/>
  <c r="BD46" i="1"/>
  <c r="BD42" i="1"/>
  <c r="BD40" i="1"/>
  <c r="BD39" i="1"/>
  <c r="AP67" i="1"/>
  <c r="AP63" i="1"/>
  <c r="AE58" i="1"/>
  <c r="AE54" i="1"/>
  <c r="W76" i="1"/>
  <c r="W73" i="1"/>
  <c r="W69" i="1"/>
  <c r="BO186" i="1" l="1"/>
  <c r="BO194" i="1"/>
  <c r="BN208" i="1" s="1"/>
  <c r="AO266" i="1"/>
  <c r="BN301" i="1"/>
  <c r="BO297" i="1" s="1"/>
  <c r="S219" i="1" s="1"/>
  <c r="V268" i="1"/>
  <c r="W264" i="1" s="1"/>
  <c r="S215" i="1" s="1"/>
  <c r="AP256" i="1"/>
  <c r="AO267" i="1" s="1"/>
  <c r="BC244" i="1"/>
  <c r="BD234" i="1"/>
  <c r="BD235" i="1" s="1"/>
  <c r="BD239" i="1"/>
  <c r="AO268" i="1"/>
  <c r="AP162" i="1"/>
  <c r="BD129" i="1"/>
  <c r="BD144" i="1" s="1"/>
  <c r="BC152" i="1" s="1"/>
  <c r="BD136" i="1"/>
  <c r="BC151" i="1" s="1"/>
  <c r="BD41" i="1"/>
  <c r="AP164" i="1"/>
  <c r="AP165" i="1" s="1"/>
  <c r="AP161" i="1"/>
  <c r="AP157" i="1"/>
  <c r="AP156" i="1"/>
  <c r="AP155" i="1"/>
  <c r="AP147" i="1"/>
  <c r="AP152" i="1"/>
  <c r="AE245" i="1"/>
  <c r="W163" i="1"/>
  <c r="AE241" i="1"/>
  <c r="AE234" i="1"/>
  <c r="AE233" i="1"/>
  <c r="W165" i="1"/>
  <c r="W166" i="1" s="1"/>
  <c r="AE243" i="1"/>
  <c r="W160" i="1"/>
  <c r="W156" i="1"/>
  <c r="W162" i="1"/>
  <c r="AP263" i="1" l="1"/>
  <c r="S217" i="1" s="1"/>
  <c r="BC245" i="1"/>
  <c r="BD241" i="1" s="1"/>
  <c r="S218" i="1" s="1"/>
  <c r="AP257" i="1"/>
  <c r="AE235" i="1"/>
  <c r="BD132" i="1"/>
  <c r="BC150" i="1" s="1"/>
  <c r="BD141" i="1"/>
  <c r="BD145" i="1"/>
  <c r="BO189" i="1"/>
  <c r="BN207" i="1" s="1"/>
  <c r="BO202" i="1"/>
  <c r="BN209" i="1" s="1"/>
  <c r="BO199" i="1"/>
  <c r="AE242" i="1"/>
  <c r="AP158" i="1"/>
  <c r="AP163" i="1" s="1"/>
  <c r="W150" i="1"/>
  <c r="BO78" i="1"/>
  <c r="AE238" i="1" l="1"/>
  <c r="AE239" i="1" s="1"/>
  <c r="AE250" i="1"/>
  <c r="AD258" i="1" s="1"/>
  <c r="AO173" i="1"/>
  <c r="AE244" i="1"/>
  <c r="BO205" i="1"/>
  <c r="S123" i="1" s="1"/>
  <c r="BD133" i="1"/>
  <c r="BO190" i="1"/>
  <c r="BO203" i="1"/>
  <c r="BO74" i="1"/>
  <c r="AP68" i="1"/>
  <c r="AP64" i="1"/>
  <c r="AE59" i="1"/>
  <c r="W70" i="1"/>
  <c r="AD256" i="1" l="1"/>
  <c r="AE251" i="1"/>
  <c r="AE246" i="1"/>
  <c r="AE55" i="1"/>
  <c r="BD47" i="1"/>
  <c r="BD43" i="1"/>
  <c r="AP149" i="1"/>
  <c r="AP148" i="1"/>
  <c r="W153" i="1"/>
  <c r="W159" i="1" s="1"/>
  <c r="W151" i="1"/>
  <c r="AE247" i="1" l="1"/>
  <c r="AD257" i="1"/>
  <c r="AE253" i="1" s="1"/>
  <c r="S216" i="1" s="1"/>
  <c r="S220" i="1" s="1"/>
  <c r="W164" i="1"/>
  <c r="V174" i="1"/>
  <c r="AP150" i="1"/>
  <c r="AP153" i="1" s="1"/>
  <c r="W154" i="1"/>
  <c r="W167" i="1" s="1"/>
  <c r="W152" i="1"/>
  <c r="S238" i="1" l="1"/>
  <c r="S237" i="1"/>
  <c r="S240" i="1"/>
  <c r="Q240" i="1" s="1"/>
  <c r="S233" i="1"/>
  <c r="S222" i="1"/>
  <c r="S234" i="1"/>
  <c r="S235" i="1"/>
  <c r="S236" i="1"/>
  <c r="S239" i="1"/>
  <c r="S241" i="1"/>
  <c r="AP166" i="1"/>
  <c r="AO174" i="1" s="1"/>
  <c r="AP154" i="1"/>
  <c r="W157" i="1"/>
  <c r="W158" i="1" s="1"/>
  <c r="W168" i="1"/>
  <c r="V175" i="1"/>
  <c r="AO172" i="1"/>
  <c r="AP167" i="1" l="1"/>
  <c r="AP169" i="1"/>
  <c r="S121" i="1" s="1"/>
  <c r="V173" i="1"/>
  <c r="W170" i="1" s="1"/>
  <c r="S119" i="1" s="1"/>
  <c r="AZ39" i="1" l="1"/>
  <c r="AZ40" i="1"/>
  <c r="AZ41" i="1"/>
  <c r="AZ42" i="1"/>
  <c r="AZ38" i="1"/>
  <c r="BO70" i="1" l="1"/>
  <c r="BO72" i="1" s="1"/>
  <c r="BD44" i="1" l="1"/>
  <c r="BD45" i="1" s="1"/>
  <c r="BD48" i="1"/>
  <c r="BD49" i="1" s="1"/>
  <c r="AE52" i="1"/>
  <c r="AE51" i="1"/>
  <c r="W77" i="1"/>
  <c r="W74" i="1"/>
  <c r="BD50" i="1" l="1"/>
  <c r="S33" i="1" s="1"/>
  <c r="BD147" i="1"/>
  <c r="S122" i="1" s="1"/>
  <c r="S124" i="1" s="1"/>
  <c r="Q237" i="1" l="1"/>
  <c r="Q235" i="1"/>
  <c r="Q234" i="1"/>
  <c r="Q239" i="1"/>
  <c r="Q233" i="1"/>
  <c r="Q241" i="1"/>
  <c r="Q236" i="1"/>
  <c r="Q238" i="1"/>
  <c r="W67" i="1"/>
  <c r="Q242" i="1" l="1"/>
  <c r="S223" i="1" s="1"/>
  <c r="W68" i="1"/>
  <c r="W71" i="1" s="1"/>
  <c r="W75" i="1"/>
  <c r="W78" i="1" s="1"/>
  <c r="S224" i="1" l="1"/>
  <c r="W79" i="1"/>
  <c r="W72" i="1"/>
  <c r="W80" i="1" l="1"/>
  <c r="S30" i="1" s="1"/>
  <c r="AP61" i="1"/>
  <c r="AP60" i="1"/>
  <c r="AP59" i="1"/>
  <c r="W65" i="1"/>
  <c r="W64" i="1"/>
  <c r="BO75" i="1" l="1"/>
  <c r="BO76" i="1" s="1"/>
  <c r="BO79" i="1"/>
  <c r="BO80" i="1" s="1"/>
  <c r="AE53" i="1"/>
  <c r="W66" i="1"/>
  <c r="AP62" i="1"/>
  <c r="BO81" i="1" l="1"/>
  <c r="S34" i="1" s="1"/>
  <c r="AP69" i="1"/>
  <c r="AP70" i="1" s="1"/>
  <c r="AP65" i="1"/>
  <c r="AP66" i="1" s="1"/>
  <c r="AE56" i="1"/>
  <c r="AE57" i="1" s="1"/>
  <c r="AE60" i="1"/>
  <c r="AE61" i="1" s="1"/>
  <c r="AP71" i="1" l="1"/>
  <c r="S32" i="1" s="1"/>
  <c r="AE62" i="1"/>
  <c r="S31" i="1" s="1"/>
  <c r="S136" i="1"/>
  <c r="Q136" i="1" s="1"/>
  <c r="S137" i="1"/>
  <c r="Q137" i="1" s="1"/>
  <c r="S140" i="1"/>
  <c r="Q140" i="1" s="1"/>
  <c r="S141" i="1"/>
  <c r="Q141" i="1" s="1"/>
  <c r="S138" i="1"/>
  <c r="Q138" i="1" s="1"/>
  <c r="S144" i="1"/>
  <c r="Q144" i="1" s="1"/>
  <c r="S139" i="1"/>
  <c r="Q139" i="1" s="1"/>
  <c r="S142" i="1"/>
  <c r="Q142" i="1" s="1"/>
  <c r="S143" i="1"/>
  <c r="Q143" i="1" s="1"/>
  <c r="S126" i="1"/>
  <c r="S35" i="1" l="1"/>
  <c r="S36" i="1" s="1"/>
  <c r="Q145" i="1"/>
  <c r="S127" i="1" s="1"/>
  <c r="S128" i="1" s="1"/>
  <c r="S43" i="1" l="1"/>
  <c r="Q43" i="1" s="1"/>
  <c r="S48" i="1"/>
  <c r="Q48" i="1" s="1"/>
  <c r="S44" i="1"/>
  <c r="Q44" i="1" s="1"/>
  <c r="S50" i="1"/>
  <c r="Q50" i="1" s="1"/>
  <c r="S46" i="1"/>
  <c r="Q46" i="1" s="1"/>
  <c r="S45" i="1"/>
  <c r="Q45" i="1" s="1"/>
  <c r="S42" i="1"/>
  <c r="Q42" i="1" s="1"/>
  <c r="S47" i="1"/>
  <c r="Q47" i="1" s="1"/>
  <c r="S49" i="1"/>
  <c r="Q49" i="1" s="1"/>
  <c r="Q51" i="1" l="1"/>
  <c r="S37" i="1" s="1"/>
  <c r="S38" i="1" s="1"/>
  <c r="S39" i="1" s="1"/>
  <c r="S40" i="1" l="1"/>
  <c r="F24" i="1" s="1"/>
  <c r="CH9" i="1" s="1"/>
  <c r="S227" i="1"/>
  <c r="BO351" i="1"/>
  <c r="BD321" i="1"/>
  <c r="BO348" i="1"/>
  <c r="BO349" i="1" s="1"/>
  <c r="BD318" i="1"/>
  <c r="BD319" i="1" s="1"/>
  <c r="AP339" i="1"/>
  <c r="AP345" i="1" s="1"/>
  <c r="AP342" i="1"/>
  <c r="AE330" i="1"/>
  <c r="AE336" i="1" s="1"/>
  <c r="AE333" i="1"/>
  <c r="W344" i="1"/>
  <c r="W350" i="1" s="1"/>
  <c r="W347" i="1"/>
  <c r="S225" i="1"/>
  <c r="S228" i="1" s="1"/>
  <c r="S221" i="1"/>
  <c r="S226" i="1" s="1"/>
  <c r="S125" i="1"/>
  <c r="S130" i="1" s="1"/>
  <c r="S129" i="1"/>
  <c r="S131" i="1"/>
  <c r="AP340" i="1" l="1"/>
  <c r="BO354" i="1"/>
  <c r="S132" i="1"/>
  <c r="S133" i="1" s="1"/>
  <c r="S134" i="1" s="1"/>
  <c r="BD324" i="1"/>
  <c r="CO9" i="1"/>
  <c r="CH27" i="1" s="1"/>
  <c r="W345" i="1"/>
  <c r="W346" i="1" s="1"/>
  <c r="BO350" i="1"/>
  <c r="BO352" i="1"/>
  <c r="BO353" i="1" s="1"/>
  <c r="BD320" i="1"/>
  <c r="BD322" i="1"/>
  <c r="BD323" i="1" s="1"/>
  <c r="AP341" i="1"/>
  <c r="AP343" i="1"/>
  <c r="AP344" i="1" s="1"/>
  <c r="AE331" i="1"/>
  <c r="AE332" i="1" s="1"/>
  <c r="AE334" i="1"/>
  <c r="AE335" i="1" s="1"/>
  <c r="W348" i="1"/>
  <c r="W349" i="1" s="1"/>
  <c r="S247" i="1"/>
  <c r="Q247" i="1" s="1"/>
  <c r="S248" i="1"/>
  <c r="Q248" i="1" s="1"/>
  <c r="S246" i="1"/>
  <c r="Q246" i="1" s="1"/>
  <c r="S249" i="1"/>
  <c r="Q249" i="1" s="1"/>
  <c r="S251" i="1"/>
  <c r="Q251" i="1" s="1"/>
  <c r="S252" i="1"/>
  <c r="Q252" i="1" s="1"/>
  <c r="S253" i="1"/>
  <c r="Q253" i="1" s="1"/>
  <c r="S245" i="1"/>
  <c r="Q245" i="1" s="1"/>
  <c r="S250" i="1"/>
  <c r="Q250" i="1" s="1"/>
  <c r="S153" i="1"/>
  <c r="Q153" i="1" s="1"/>
  <c r="S148" i="1"/>
  <c r="Q148" i="1" s="1"/>
  <c r="S150" i="1"/>
  <c r="Q150" i="1" s="1"/>
  <c r="S154" i="1"/>
  <c r="Q154" i="1" s="1"/>
  <c r="S151" i="1"/>
  <c r="Q151" i="1" s="1"/>
  <c r="S156" i="1"/>
  <c r="Q156" i="1" s="1"/>
  <c r="S152" i="1"/>
  <c r="Q152" i="1" s="1"/>
  <c r="S149" i="1"/>
  <c r="Q149" i="1" s="1"/>
  <c r="S155" i="1"/>
  <c r="Q155" i="1" s="1"/>
  <c r="S229" i="1" l="1"/>
  <c r="BO355" i="1"/>
  <c r="S315" i="1" s="1"/>
  <c r="BD325" i="1"/>
  <c r="S314" i="1" s="1"/>
  <c r="CU9" i="1"/>
  <c r="AP346" i="1"/>
  <c r="S313" i="1" s="1"/>
  <c r="W351" i="1"/>
  <c r="AE337" i="1"/>
  <c r="S312" i="1" s="1"/>
  <c r="Q254" i="1"/>
  <c r="Q157" i="1"/>
  <c r="S230" i="1" l="1"/>
  <c r="S311" i="1"/>
  <c r="S316" i="1" s="1"/>
  <c r="S231" i="1" l="1"/>
  <c r="F25" i="1" s="1"/>
  <c r="CH18" i="1" s="1"/>
  <c r="S335" i="1"/>
  <c r="Q335" i="1" s="1"/>
  <c r="CK18" i="1" l="1"/>
  <c r="CO18" i="1" s="1"/>
  <c r="CH29" i="1" s="1"/>
  <c r="S333" i="1"/>
  <c r="Q333" i="1" s="1"/>
  <c r="S332" i="1"/>
  <c r="Q332" i="1" s="1"/>
  <c r="S337" i="1"/>
  <c r="Q337" i="1" s="1"/>
  <c r="S330" i="1"/>
  <c r="Q330" i="1" s="1"/>
  <c r="S334" i="1"/>
  <c r="Q334" i="1" s="1"/>
  <c r="S329" i="1"/>
  <c r="Q329" i="1" s="1"/>
  <c r="S318" i="1"/>
  <c r="S331" i="1"/>
  <c r="Q331" i="1" s="1"/>
  <c r="S336" i="1"/>
  <c r="Q336" i="1" s="1"/>
  <c r="S324" i="1"/>
  <c r="CU18" i="1" l="1"/>
  <c r="Q338" i="1"/>
  <c r="S319" i="1" s="1"/>
  <c r="S320" i="1" s="1"/>
  <c r="S325" i="1" s="1"/>
  <c r="S326" i="1" s="1"/>
  <c r="S327" i="1" s="1"/>
  <c r="F26" i="1" s="1"/>
  <c r="CH14" i="1" l="1"/>
  <c r="S317" i="1"/>
  <c r="S342" i="1" s="1"/>
  <c r="Q342" i="1" s="1"/>
  <c r="CK14" i="1" l="1"/>
  <c r="CM14" i="1" s="1"/>
  <c r="S345" i="1"/>
  <c r="Q345" i="1" s="1"/>
  <c r="S346" i="1"/>
  <c r="Q346" i="1" s="1"/>
  <c r="S344" i="1"/>
  <c r="Q344" i="1" s="1"/>
  <c r="S321" i="1"/>
  <c r="S347" i="1"/>
  <c r="Q347" i="1" s="1"/>
  <c r="S343" i="1"/>
  <c r="Q343" i="1" s="1"/>
  <c r="S323" i="1"/>
  <c r="S349" i="1"/>
  <c r="Q349" i="1" s="1"/>
  <c r="S341" i="1"/>
  <c r="Q341" i="1" s="1"/>
  <c r="S348" i="1"/>
  <c r="Q348" i="1" s="1"/>
  <c r="CO14" i="1" l="1"/>
  <c r="CQ14" i="1" s="1"/>
  <c r="CH28" i="1" s="1"/>
  <c r="CH30" i="1" s="1"/>
  <c r="CU27" i="1" s="1"/>
  <c r="Q350" i="1"/>
  <c r="S322" i="1" s="1"/>
  <c r="CU14" i="1" l="1"/>
  <c r="CU35" i="1" s="1"/>
  <c r="CU30" i="1" s="1"/>
  <c r="CU33" i="1" l="1"/>
  <c r="I21" i="1" s="1"/>
</calcChain>
</file>

<file path=xl/sharedStrings.xml><?xml version="1.0" encoding="utf-8"?>
<sst xmlns="http://schemas.openxmlformats.org/spreadsheetml/2006/main" count="2357" uniqueCount="993">
  <si>
    <t>Bowler Statistics</t>
  </si>
  <si>
    <t>Ball Speed</t>
  </si>
  <si>
    <t>Rev Rate</t>
  </si>
  <si>
    <t>Very Low</t>
  </si>
  <si>
    <t>Axis Tilt</t>
  </si>
  <si>
    <t>Strong</t>
  </si>
  <si>
    <t>Axis Rotation</t>
  </si>
  <si>
    <t>Low RG</t>
  </si>
  <si>
    <t>Pattern Details</t>
  </si>
  <si>
    <t>Length</t>
  </si>
  <si>
    <t>Volume</t>
  </si>
  <si>
    <t>Early</t>
  </si>
  <si>
    <t>Ball Statistics</t>
  </si>
  <si>
    <t>Differential</t>
  </si>
  <si>
    <t>Pin Buffer</t>
  </si>
  <si>
    <t>Disclaimer</t>
  </si>
  <si>
    <t>©2020 Storm Products, Inc. All Rights Reserved</t>
  </si>
  <si>
    <t>Value</t>
  </si>
  <si>
    <t>Strength</t>
  </si>
  <si>
    <t>Medium</t>
  </si>
  <si>
    <t>Very Early</t>
  </si>
  <si>
    <t>Late</t>
  </si>
  <si>
    <t>Very Late</t>
  </si>
  <si>
    <t>Low/High RG</t>
  </si>
  <si>
    <t>High RG</t>
  </si>
  <si>
    <t>RG</t>
  </si>
  <si>
    <t>Intermediate</t>
  </si>
  <si>
    <t>Ball Speed/Rev Rate Ratio</t>
  </si>
  <si>
    <t>Ball Speed Value</t>
  </si>
  <si>
    <t>Rev Rate Value</t>
  </si>
  <si>
    <t>Speed/Rev Ratio</t>
  </si>
  <si>
    <t>Low</t>
  </si>
  <si>
    <t>High</t>
  </si>
  <si>
    <t>Very High</t>
  </si>
  <si>
    <t>Tilt/Rotation Influence</t>
  </si>
  <si>
    <t>Axis Rotation Value</t>
  </si>
  <si>
    <t>Axis Tilt Value</t>
  </si>
  <si>
    <t>Lane Pattern Influence</t>
  </si>
  <si>
    <t>Pattern Length Value</t>
  </si>
  <si>
    <t>Pattern Volume Value</t>
  </si>
  <si>
    <t>Lane Surface</t>
  </si>
  <si>
    <t>Ball Motion</t>
  </si>
  <si>
    <t>Surface</t>
  </si>
  <si>
    <t>Low Friction</t>
  </si>
  <si>
    <t>Medium Friction</t>
  </si>
  <si>
    <t>High Friction</t>
  </si>
  <si>
    <t>Medium-Low Friction</t>
  </si>
  <si>
    <t>Lane Surface Value</t>
  </si>
  <si>
    <t>Very-Low Friction</t>
  </si>
  <si>
    <t>Medium-High Friction</t>
  </si>
  <si>
    <t>Very-High Friction</t>
  </si>
  <si>
    <t>Ball Dynamics Influence</t>
  </si>
  <si>
    <t>RG Value</t>
  </si>
  <si>
    <t>Differential Value</t>
  </si>
  <si>
    <t>Matched</t>
  </si>
  <si>
    <t>Slightly Speed Dominant</t>
  </si>
  <si>
    <t>Speed Dominant</t>
  </si>
  <si>
    <t>Very Speed Dominant</t>
  </si>
  <si>
    <t>Extremely Speed Dominant</t>
  </si>
  <si>
    <t>Max Speed Dominant</t>
  </si>
  <si>
    <t>Slightly Rev Dominant</t>
  </si>
  <si>
    <t>Rev Dominant</t>
  </si>
  <si>
    <t>Very Rev Dominant</t>
  </si>
  <si>
    <t>Extremely Rev Dominant</t>
  </si>
  <si>
    <t>Max Rev Dominant</t>
  </si>
  <si>
    <t>Speed/Rev Value</t>
  </si>
  <si>
    <t>10|100</t>
  </si>
  <si>
    <t>10.5|100</t>
  </si>
  <si>
    <t>11|100</t>
  </si>
  <si>
    <t>11.5|100</t>
  </si>
  <si>
    <t>12|100</t>
  </si>
  <si>
    <t>12.5|100</t>
  </si>
  <si>
    <t>13|100</t>
  </si>
  <si>
    <t>13.5|100</t>
  </si>
  <si>
    <t>14|100</t>
  </si>
  <si>
    <t>14.5|100</t>
  </si>
  <si>
    <t>15|100</t>
  </si>
  <si>
    <t>15.5|100</t>
  </si>
  <si>
    <t>16|100</t>
  </si>
  <si>
    <t>16.5|100</t>
  </si>
  <si>
    <t>17|100</t>
  </si>
  <si>
    <t>17.5|100</t>
  </si>
  <si>
    <t>18|100</t>
  </si>
  <si>
    <t>22.5|100</t>
  </si>
  <si>
    <t>23|100</t>
  </si>
  <si>
    <t>23.5|100</t>
  </si>
  <si>
    <t>24|100</t>
  </si>
  <si>
    <t>24.5|100</t>
  </si>
  <si>
    <t>25|100</t>
  </si>
  <si>
    <t>10|125</t>
  </si>
  <si>
    <t>10.5|125</t>
  </si>
  <si>
    <t>11|125</t>
  </si>
  <si>
    <t>11.5|125</t>
  </si>
  <si>
    <t>12|125</t>
  </si>
  <si>
    <t>12.5|125</t>
  </si>
  <si>
    <t>13|125</t>
  </si>
  <si>
    <t>13.5|125</t>
  </si>
  <si>
    <t>14|125</t>
  </si>
  <si>
    <t>14.5|125</t>
  </si>
  <si>
    <t>15|125</t>
  </si>
  <si>
    <t>15.5|125</t>
  </si>
  <si>
    <t>16|125</t>
  </si>
  <si>
    <t>16.5|125</t>
  </si>
  <si>
    <t>17|125</t>
  </si>
  <si>
    <t>17.5|125</t>
  </si>
  <si>
    <t>18|125</t>
  </si>
  <si>
    <t>18.5|125</t>
  </si>
  <si>
    <t>19|125</t>
  </si>
  <si>
    <t>19.5|125</t>
  </si>
  <si>
    <t>20|125</t>
  </si>
  <si>
    <t>20.5|125</t>
  </si>
  <si>
    <t>21|125</t>
  </si>
  <si>
    <t>21.5|125</t>
  </si>
  <si>
    <t>22|125</t>
  </si>
  <si>
    <t>22.5|125</t>
  </si>
  <si>
    <t>23|125</t>
  </si>
  <si>
    <t>23.5|125</t>
  </si>
  <si>
    <t>24|125</t>
  </si>
  <si>
    <t>24.5|125</t>
  </si>
  <si>
    <t>25|125</t>
  </si>
  <si>
    <t>10|150</t>
  </si>
  <si>
    <t>10.5|150</t>
  </si>
  <si>
    <t>11|150</t>
  </si>
  <si>
    <t>11.5|150</t>
  </si>
  <si>
    <t>12|150</t>
  </si>
  <si>
    <t>12.5|150</t>
  </si>
  <si>
    <t>13|150</t>
  </si>
  <si>
    <t>13.5|150</t>
  </si>
  <si>
    <t>14|150</t>
  </si>
  <si>
    <t>14.5|150</t>
  </si>
  <si>
    <t>15|150</t>
  </si>
  <si>
    <t>15.5|150</t>
  </si>
  <si>
    <t>16|150</t>
  </si>
  <si>
    <t>16.5|150</t>
  </si>
  <si>
    <t>17|150</t>
  </si>
  <si>
    <t>17.5|150</t>
  </si>
  <si>
    <t>18|150</t>
  </si>
  <si>
    <t>18.5|150</t>
  </si>
  <si>
    <t>19|150</t>
  </si>
  <si>
    <t>19.5|150</t>
  </si>
  <si>
    <t>20|150</t>
  </si>
  <si>
    <t>20.5|150</t>
  </si>
  <si>
    <t>21|150</t>
  </si>
  <si>
    <t>21.5|150</t>
  </si>
  <si>
    <t>22|150</t>
  </si>
  <si>
    <t>22.5|150</t>
  </si>
  <si>
    <t>23|150</t>
  </si>
  <si>
    <t>23.5|150</t>
  </si>
  <si>
    <t>24|150</t>
  </si>
  <si>
    <t>24.5|150</t>
  </si>
  <si>
    <t>25|150</t>
  </si>
  <si>
    <t>10|175</t>
  </si>
  <si>
    <t>10.5|175</t>
  </si>
  <si>
    <t>11|175</t>
  </si>
  <si>
    <t>11.5|175</t>
  </si>
  <si>
    <t>12|175</t>
  </si>
  <si>
    <t>12.5|175</t>
  </si>
  <si>
    <t>13|175</t>
  </si>
  <si>
    <t>13.5|175</t>
  </si>
  <si>
    <t>14|175</t>
  </si>
  <si>
    <t>14.5|175</t>
  </si>
  <si>
    <t>15|175</t>
  </si>
  <si>
    <t>15.5|175</t>
  </si>
  <si>
    <t>16|175</t>
  </si>
  <si>
    <t>16.5|175</t>
  </si>
  <si>
    <t>17|175</t>
  </si>
  <si>
    <t>17.5|175</t>
  </si>
  <si>
    <t>18|175</t>
  </si>
  <si>
    <t>18.5|175</t>
  </si>
  <si>
    <t>19|175</t>
  </si>
  <si>
    <t>19.5|175</t>
  </si>
  <si>
    <t>20|175</t>
  </si>
  <si>
    <t>20.5|175</t>
  </si>
  <si>
    <t>21|175</t>
  </si>
  <si>
    <t>21.5|175</t>
  </si>
  <si>
    <t>22|175</t>
  </si>
  <si>
    <t>22.5|175</t>
  </si>
  <si>
    <t>23|175</t>
  </si>
  <si>
    <t>23.5|175</t>
  </si>
  <si>
    <t>24|175</t>
  </si>
  <si>
    <t>24.5|175</t>
  </si>
  <si>
    <t>25|175</t>
  </si>
  <si>
    <t>10|200</t>
  </si>
  <si>
    <t>10.5|200</t>
  </si>
  <si>
    <t>11|200</t>
  </si>
  <si>
    <t>11.5|200</t>
  </si>
  <si>
    <t>12|200</t>
  </si>
  <si>
    <t>12.5|200</t>
  </si>
  <si>
    <t>13|200</t>
  </si>
  <si>
    <t>13.5|200</t>
  </si>
  <si>
    <t>14|200</t>
  </si>
  <si>
    <t>14.5|200</t>
  </si>
  <si>
    <t>15|200</t>
  </si>
  <si>
    <t>15.5|200</t>
  </si>
  <si>
    <t>16|200</t>
  </si>
  <si>
    <t>16.5|200</t>
  </si>
  <si>
    <t>17|200</t>
  </si>
  <si>
    <t>17.5|200</t>
  </si>
  <si>
    <t>18|200</t>
  </si>
  <si>
    <t>18.5|200</t>
  </si>
  <si>
    <t>19|200</t>
  </si>
  <si>
    <t>19.5|200</t>
  </si>
  <si>
    <t>20|200</t>
  </si>
  <si>
    <t>20.5|200</t>
  </si>
  <si>
    <t>21|200</t>
  </si>
  <si>
    <t>21.5|200</t>
  </si>
  <si>
    <t>22|200</t>
  </si>
  <si>
    <t>22.5|200</t>
  </si>
  <si>
    <t>23|200</t>
  </si>
  <si>
    <t>23.5|200</t>
  </si>
  <si>
    <t>24|200</t>
  </si>
  <si>
    <t>24.5|200</t>
  </si>
  <si>
    <t>25|200</t>
  </si>
  <si>
    <t>10|225</t>
  </si>
  <si>
    <t>10.5|225</t>
  </si>
  <si>
    <t>11|225</t>
  </si>
  <si>
    <t>11.5|225</t>
  </si>
  <si>
    <t>12|225</t>
  </si>
  <si>
    <t>12.5|225</t>
  </si>
  <si>
    <t>13|225</t>
  </si>
  <si>
    <t>13.5|225</t>
  </si>
  <si>
    <t>14|225</t>
  </si>
  <si>
    <t>14.5|225</t>
  </si>
  <si>
    <t>15|225</t>
  </si>
  <si>
    <t>15.5|225</t>
  </si>
  <si>
    <t>16|225</t>
  </si>
  <si>
    <t>16.5|225</t>
  </si>
  <si>
    <t>17|225</t>
  </si>
  <si>
    <t>17.5|225</t>
  </si>
  <si>
    <t>18|225</t>
  </si>
  <si>
    <t>18.5|225</t>
  </si>
  <si>
    <t>19|225</t>
  </si>
  <si>
    <t>19.5|225</t>
  </si>
  <si>
    <t>20|225</t>
  </si>
  <si>
    <t>20.5|225</t>
  </si>
  <si>
    <t>21|225</t>
  </si>
  <si>
    <t>21.5|225</t>
  </si>
  <si>
    <t>22|225</t>
  </si>
  <si>
    <t>22.5|225</t>
  </si>
  <si>
    <t>23|225</t>
  </si>
  <si>
    <t>23.5|225</t>
  </si>
  <si>
    <t>24|225</t>
  </si>
  <si>
    <t>24.5|225</t>
  </si>
  <si>
    <t>25|225</t>
  </si>
  <si>
    <t>10|250</t>
  </si>
  <si>
    <t>10.5|250</t>
  </si>
  <si>
    <t>11|250</t>
  </si>
  <si>
    <t>11.5|250</t>
  </si>
  <si>
    <t>12|250</t>
  </si>
  <si>
    <t>12.5|250</t>
  </si>
  <si>
    <t>13|250</t>
  </si>
  <si>
    <t>13.5|250</t>
  </si>
  <si>
    <t>14|250</t>
  </si>
  <si>
    <t>14.5|250</t>
  </si>
  <si>
    <t>15|250</t>
  </si>
  <si>
    <t>15.5|250</t>
  </si>
  <si>
    <t>16|250</t>
  </si>
  <si>
    <t>16.5|250</t>
  </si>
  <si>
    <t>17|250</t>
  </si>
  <si>
    <t>17.5|250</t>
  </si>
  <si>
    <t>18|250</t>
  </si>
  <si>
    <t>18.5|250</t>
  </si>
  <si>
    <t>19|250</t>
  </si>
  <si>
    <t>19.5|250</t>
  </si>
  <si>
    <t>20|250</t>
  </si>
  <si>
    <t>20.5|250</t>
  </si>
  <si>
    <t>21|250</t>
  </si>
  <si>
    <t>21.5|250</t>
  </si>
  <si>
    <t>22|250</t>
  </si>
  <si>
    <t>22.5|250</t>
  </si>
  <si>
    <t>23|250</t>
  </si>
  <si>
    <t>23.5|250</t>
  </si>
  <si>
    <t>24|250</t>
  </si>
  <si>
    <t>24.5|250</t>
  </si>
  <si>
    <t>25|250</t>
  </si>
  <si>
    <t>10|275</t>
  </si>
  <si>
    <t>10.5|275</t>
  </si>
  <si>
    <t>11|275</t>
  </si>
  <si>
    <t>11.5|275</t>
  </si>
  <si>
    <t>12|275</t>
  </si>
  <si>
    <t>12.5|275</t>
  </si>
  <si>
    <t>13|275</t>
  </si>
  <si>
    <t>13.5|275</t>
  </si>
  <si>
    <t>14|275</t>
  </si>
  <si>
    <t>14.5|275</t>
  </si>
  <si>
    <t>15|275</t>
  </si>
  <si>
    <t>15.5|275</t>
  </si>
  <si>
    <t>16|275</t>
  </si>
  <si>
    <t>16.5|275</t>
  </si>
  <si>
    <t>17|275</t>
  </si>
  <si>
    <t>17.5|275</t>
  </si>
  <si>
    <t>18|275</t>
  </si>
  <si>
    <t>18.5|275</t>
  </si>
  <si>
    <t>19|275</t>
  </si>
  <si>
    <t>19.5|275</t>
  </si>
  <si>
    <t>20|275</t>
  </si>
  <si>
    <t>20.5|275</t>
  </si>
  <si>
    <t>21|275</t>
  </si>
  <si>
    <t>21.5|275</t>
  </si>
  <si>
    <t>22|275</t>
  </si>
  <si>
    <t>22.5|275</t>
  </si>
  <si>
    <t>23|275</t>
  </si>
  <si>
    <t>23.5|275</t>
  </si>
  <si>
    <t>24|275</t>
  </si>
  <si>
    <t>24.5|275</t>
  </si>
  <si>
    <t>25|275</t>
  </si>
  <si>
    <t>10|300</t>
  </si>
  <si>
    <t>10.5|300</t>
  </si>
  <si>
    <t>11|300</t>
  </si>
  <si>
    <t>11.5|300</t>
  </si>
  <si>
    <t>12|300</t>
  </si>
  <si>
    <t>12.5|300</t>
  </si>
  <si>
    <t>13|300</t>
  </si>
  <si>
    <t>13.5|300</t>
  </si>
  <si>
    <t>14|300</t>
  </si>
  <si>
    <t>14.5|300</t>
  </si>
  <si>
    <t>15|300</t>
  </si>
  <si>
    <t>15.5|300</t>
  </si>
  <si>
    <t>16|300</t>
  </si>
  <si>
    <t>16.5|300</t>
  </si>
  <si>
    <t>17|300</t>
  </si>
  <si>
    <t>17.5|300</t>
  </si>
  <si>
    <t>18|300</t>
  </si>
  <si>
    <t>18.5|300</t>
  </si>
  <si>
    <t>19|300</t>
  </si>
  <si>
    <t>19.5|300</t>
  </si>
  <si>
    <t>20|300</t>
  </si>
  <si>
    <t>20.5|300</t>
  </si>
  <si>
    <t>21|300</t>
  </si>
  <si>
    <t>21.5|300</t>
  </si>
  <si>
    <t>22|300</t>
  </si>
  <si>
    <t>22.5|300</t>
  </si>
  <si>
    <t>23|300</t>
  </si>
  <si>
    <t>23.5|300</t>
  </si>
  <si>
    <t>24|300</t>
  </si>
  <si>
    <t>24.5|300</t>
  </si>
  <si>
    <t>25|300</t>
  </si>
  <si>
    <t>10|325</t>
  </si>
  <si>
    <t>10.5|325</t>
  </si>
  <si>
    <t>11|325</t>
  </si>
  <si>
    <t>11.5|325</t>
  </si>
  <si>
    <t>12|325</t>
  </si>
  <si>
    <t>12.5|325</t>
  </si>
  <si>
    <t>13|325</t>
  </si>
  <si>
    <t>13.5|325</t>
  </si>
  <si>
    <t>14|325</t>
  </si>
  <si>
    <t>14.5|325</t>
  </si>
  <si>
    <t>15|325</t>
  </si>
  <si>
    <t>15.5|325</t>
  </si>
  <si>
    <t>16|325</t>
  </si>
  <si>
    <t>16.5|325</t>
  </si>
  <si>
    <t>17|325</t>
  </si>
  <si>
    <t>17.5|325</t>
  </si>
  <si>
    <t>18|325</t>
  </si>
  <si>
    <t>18.5|325</t>
  </si>
  <si>
    <t>19|325</t>
  </si>
  <si>
    <t>19.5|325</t>
  </si>
  <si>
    <t>20|325</t>
  </si>
  <si>
    <t>20.5|325</t>
  </si>
  <si>
    <t>21|325</t>
  </si>
  <si>
    <t>21.5|325</t>
  </si>
  <si>
    <t>22|325</t>
  </si>
  <si>
    <t>22.5|325</t>
  </si>
  <si>
    <t>23|325</t>
  </si>
  <si>
    <t>23.5|325</t>
  </si>
  <si>
    <t>24|325</t>
  </si>
  <si>
    <t>24.5|325</t>
  </si>
  <si>
    <t>25|325</t>
  </si>
  <si>
    <t>10|350</t>
  </si>
  <si>
    <t>10.5|350</t>
  </si>
  <si>
    <t>11|350</t>
  </si>
  <si>
    <t>11.5|350</t>
  </si>
  <si>
    <t>12|350</t>
  </si>
  <si>
    <t>12.5|350</t>
  </si>
  <si>
    <t>13|350</t>
  </si>
  <si>
    <t>13.5|350</t>
  </si>
  <si>
    <t>14|350</t>
  </si>
  <si>
    <t>14.5|350</t>
  </si>
  <si>
    <t>15|350</t>
  </si>
  <si>
    <t>15.5|350</t>
  </si>
  <si>
    <t>16|350</t>
  </si>
  <si>
    <t>16.5|350</t>
  </si>
  <si>
    <t>17|350</t>
  </si>
  <si>
    <t>17.5|350</t>
  </si>
  <si>
    <t>18|350</t>
  </si>
  <si>
    <t>18.5|350</t>
  </si>
  <si>
    <t>19|350</t>
  </si>
  <si>
    <t>19.5|350</t>
  </si>
  <si>
    <t>20|350</t>
  </si>
  <si>
    <t>20.5|350</t>
  </si>
  <si>
    <t>21|350</t>
  </si>
  <si>
    <t>21.5|350</t>
  </si>
  <si>
    <t>22|350</t>
  </si>
  <si>
    <t>22.5|350</t>
  </si>
  <si>
    <t>23|350</t>
  </si>
  <si>
    <t>23.5|350</t>
  </si>
  <si>
    <t>24|350</t>
  </si>
  <si>
    <t>24.5|350</t>
  </si>
  <si>
    <t>25|350</t>
  </si>
  <si>
    <t>10|375</t>
  </si>
  <si>
    <t>10.5|375</t>
  </si>
  <si>
    <t>11|375</t>
  </si>
  <si>
    <t>11.5|375</t>
  </si>
  <si>
    <t>12|375</t>
  </si>
  <si>
    <t>12.5|375</t>
  </si>
  <si>
    <t>13|375</t>
  </si>
  <si>
    <t>13.5|375</t>
  </si>
  <si>
    <t>14|375</t>
  </si>
  <si>
    <t>14.5|375</t>
  </si>
  <si>
    <t>15|375</t>
  </si>
  <si>
    <t>15.5|375</t>
  </si>
  <si>
    <t>16|375</t>
  </si>
  <si>
    <t>16.5|375</t>
  </si>
  <si>
    <t>17|375</t>
  </si>
  <si>
    <t>17.5|375</t>
  </si>
  <si>
    <t>18|375</t>
  </si>
  <si>
    <t>18.5|375</t>
  </si>
  <si>
    <t>19|375</t>
  </si>
  <si>
    <t>19.5|375</t>
  </si>
  <si>
    <t>20|375</t>
  </si>
  <si>
    <t>20.5|375</t>
  </si>
  <si>
    <t>21|375</t>
  </si>
  <si>
    <t>21.5|375</t>
  </si>
  <si>
    <t>22|375</t>
  </si>
  <si>
    <t>22.5|375</t>
  </si>
  <si>
    <t>23|375</t>
  </si>
  <si>
    <t>23.5|375</t>
  </si>
  <si>
    <t>24|375</t>
  </si>
  <si>
    <t>24.5|375</t>
  </si>
  <si>
    <t>25|375</t>
  </si>
  <si>
    <t>10|400</t>
  </si>
  <si>
    <t>10.5|400</t>
  </si>
  <si>
    <t>11|400</t>
  </si>
  <si>
    <t>11.5|400</t>
  </si>
  <si>
    <t>12|400</t>
  </si>
  <si>
    <t>12.5|400</t>
  </si>
  <si>
    <t>13|400</t>
  </si>
  <si>
    <t>13.5|400</t>
  </si>
  <si>
    <t>14|400</t>
  </si>
  <si>
    <t>14.5|400</t>
  </si>
  <si>
    <t>15|400</t>
  </si>
  <si>
    <t>15.5|400</t>
  </si>
  <si>
    <t>16|400</t>
  </si>
  <si>
    <t>16.5|400</t>
  </si>
  <si>
    <t>17|400</t>
  </si>
  <si>
    <t>17.5|400</t>
  </si>
  <si>
    <t>18|400</t>
  </si>
  <si>
    <t>18.5|400</t>
  </si>
  <si>
    <t>19|400</t>
  </si>
  <si>
    <t>19.5|400</t>
  </si>
  <si>
    <t>20|400</t>
  </si>
  <si>
    <t>20.5|400</t>
  </si>
  <si>
    <t>21|400</t>
  </si>
  <si>
    <t>21.5|400</t>
  </si>
  <si>
    <t>22|400</t>
  </si>
  <si>
    <t>22.5|400</t>
  </si>
  <si>
    <t>23|400</t>
  </si>
  <si>
    <t>23.5|400</t>
  </si>
  <si>
    <t>24|400</t>
  </si>
  <si>
    <t>24.5|400</t>
  </si>
  <si>
    <t>25|400</t>
  </si>
  <si>
    <t>10|425</t>
  </si>
  <si>
    <t>10.5|425</t>
  </si>
  <si>
    <t>11|425</t>
  </si>
  <si>
    <t>11.5|425</t>
  </si>
  <si>
    <t>12|425</t>
  </si>
  <si>
    <t>12.5|425</t>
  </si>
  <si>
    <t>13|425</t>
  </si>
  <si>
    <t>13.5|425</t>
  </si>
  <si>
    <t>14|425</t>
  </si>
  <si>
    <t>14.5|425</t>
  </si>
  <si>
    <t>15|425</t>
  </si>
  <si>
    <t>15.5|425</t>
  </si>
  <si>
    <t>16|425</t>
  </si>
  <si>
    <t>16.5|425</t>
  </si>
  <si>
    <t>17|425</t>
  </si>
  <si>
    <t>17.5|425</t>
  </si>
  <si>
    <t>18|425</t>
  </si>
  <si>
    <t>18.5|425</t>
  </si>
  <si>
    <t>19|425</t>
  </si>
  <si>
    <t>19.5|425</t>
  </si>
  <si>
    <t>20|425</t>
  </si>
  <si>
    <t>20.5|425</t>
  </si>
  <si>
    <t>21|425</t>
  </si>
  <si>
    <t>21.5|425</t>
  </si>
  <si>
    <t>22|425</t>
  </si>
  <si>
    <t>22.5|425</t>
  </si>
  <si>
    <t>23|425</t>
  </si>
  <si>
    <t>23.5|425</t>
  </si>
  <si>
    <t>24|425</t>
  </si>
  <si>
    <t>24.5|425</t>
  </si>
  <si>
    <t>25|425</t>
  </si>
  <si>
    <t>10|450</t>
  </si>
  <si>
    <t>10.5|450</t>
  </si>
  <si>
    <t>11|450</t>
  </si>
  <si>
    <t>11.5|450</t>
  </si>
  <si>
    <t>12|450</t>
  </si>
  <si>
    <t>12.5|450</t>
  </si>
  <si>
    <t>13|450</t>
  </si>
  <si>
    <t>13.5|450</t>
  </si>
  <si>
    <t>14|450</t>
  </si>
  <si>
    <t>14.5|450</t>
  </si>
  <si>
    <t>15|450</t>
  </si>
  <si>
    <t>15.5|450</t>
  </si>
  <si>
    <t>16|450</t>
  </si>
  <si>
    <t>16.5|450</t>
  </si>
  <si>
    <t>17|450</t>
  </si>
  <si>
    <t>17.5|450</t>
  </si>
  <si>
    <t>18|450</t>
  </si>
  <si>
    <t>18.5|450</t>
  </si>
  <si>
    <t>19|450</t>
  </si>
  <si>
    <t>19.5|450</t>
  </si>
  <si>
    <t>20|450</t>
  </si>
  <si>
    <t>20.5|450</t>
  </si>
  <si>
    <t>21|450</t>
  </si>
  <si>
    <t>21.5|450</t>
  </si>
  <si>
    <t>22|450</t>
  </si>
  <si>
    <t>22.5|450</t>
  </si>
  <si>
    <t>23|450</t>
  </si>
  <si>
    <t>23.5|450</t>
  </si>
  <si>
    <t>24|450</t>
  </si>
  <si>
    <t>24.5|450</t>
  </si>
  <si>
    <t>25|450</t>
  </si>
  <si>
    <t>10|475</t>
  </si>
  <si>
    <t>10.5|475</t>
  </si>
  <si>
    <t>11|475</t>
  </si>
  <si>
    <t>11.5|475</t>
  </si>
  <si>
    <t>12|475</t>
  </si>
  <si>
    <t>12.5|475</t>
  </si>
  <si>
    <t>13|475</t>
  </si>
  <si>
    <t>13.5|475</t>
  </si>
  <si>
    <t>14|475</t>
  </si>
  <si>
    <t>14.5|475</t>
  </si>
  <si>
    <t>15|475</t>
  </si>
  <si>
    <t>15.5|475</t>
  </si>
  <si>
    <t>16|475</t>
  </si>
  <si>
    <t>16.5|475</t>
  </si>
  <si>
    <t>17|475</t>
  </si>
  <si>
    <t>17.5|475</t>
  </si>
  <si>
    <t>18|475</t>
  </si>
  <si>
    <t>18.5|475</t>
  </si>
  <si>
    <t>19|475</t>
  </si>
  <si>
    <t>19.5|475</t>
  </si>
  <si>
    <t>20|475</t>
  </si>
  <si>
    <t>20.5|475</t>
  </si>
  <si>
    <t>21|475</t>
  </si>
  <si>
    <t>21.5|475</t>
  </si>
  <si>
    <t>22|475</t>
  </si>
  <si>
    <t>22.5|475</t>
  </si>
  <si>
    <t>23|475</t>
  </si>
  <si>
    <t>23.5|475</t>
  </si>
  <si>
    <t>24|475</t>
  </si>
  <si>
    <t>24.5|475</t>
  </si>
  <si>
    <t>25|475</t>
  </si>
  <si>
    <t>10|500</t>
  </si>
  <si>
    <t>10.5|500</t>
  </si>
  <si>
    <t>11|500</t>
  </si>
  <si>
    <t>11.5|500</t>
  </si>
  <si>
    <t>12|500</t>
  </si>
  <si>
    <t>12.5|500</t>
  </si>
  <si>
    <t>13|500</t>
  </si>
  <si>
    <t>13.5|500</t>
  </si>
  <si>
    <t>14|500</t>
  </si>
  <si>
    <t>14.5|500</t>
  </si>
  <si>
    <t>15|500</t>
  </si>
  <si>
    <t>15.5|500</t>
  </si>
  <si>
    <t>16|500</t>
  </si>
  <si>
    <t>16.5|500</t>
  </si>
  <si>
    <t>17|500</t>
  </si>
  <si>
    <t>17.5|500</t>
  </si>
  <si>
    <t>18|500</t>
  </si>
  <si>
    <t>18.5|500</t>
  </si>
  <si>
    <t>19|500</t>
  </si>
  <si>
    <t>19.5|500</t>
  </si>
  <si>
    <t>20|500</t>
  </si>
  <si>
    <t>20.5|500</t>
  </si>
  <si>
    <t>21|500</t>
  </si>
  <si>
    <t>21.5|500</t>
  </si>
  <si>
    <t>22|500</t>
  </si>
  <si>
    <t>22.5|500</t>
  </si>
  <si>
    <t>23|500</t>
  </si>
  <si>
    <t>23.5|500</t>
  </si>
  <si>
    <t>24|500</t>
  </si>
  <si>
    <t>24.5|500</t>
  </si>
  <si>
    <t>25|500</t>
  </si>
  <si>
    <t>10|525</t>
  </si>
  <si>
    <t>10.5|525</t>
  </si>
  <si>
    <t>11|525</t>
  </si>
  <si>
    <t>11.5|525</t>
  </si>
  <si>
    <t>12|525</t>
  </si>
  <si>
    <t>12.5|525</t>
  </si>
  <si>
    <t>13|525</t>
  </si>
  <si>
    <t>13.5|525</t>
  </si>
  <si>
    <t>14|525</t>
  </si>
  <si>
    <t>14.5|525</t>
  </si>
  <si>
    <t>15|525</t>
  </si>
  <si>
    <t>15.5|525</t>
  </si>
  <si>
    <t>16|525</t>
  </si>
  <si>
    <t>16.5|525</t>
  </si>
  <si>
    <t>17|525</t>
  </si>
  <si>
    <t>17.5|525</t>
  </si>
  <si>
    <t>18|525</t>
  </si>
  <si>
    <t>18.5|525</t>
  </si>
  <si>
    <t>19|525</t>
  </si>
  <si>
    <t>19.5|525</t>
  </si>
  <si>
    <t>20|525</t>
  </si>
  <si>
    <t>20.5|525</t>
  </si>
  <si>
    <t>21|525</t>
  </si>
  <si>
    <t>21.5|525</t>
  </si>
  <si>
    <t>22|525</t>
  </si>
  <si>
    <t>22.5|525</t>
  </si>
  <si>
    <t>23|525</t>
  </si>
  <si>
    <t>23.5|525</t>
  </si>
  <si>
    <t>24|525</t>
  </si>
  <si>
    <t>24.5|525</t>
  </si>
  <si>
    <t>25|525</t>
  </si>
  <si>
    <t>10|550</t>
  </si>
  <si>
    <t>10.5|550</t>
  </si>
  <si>
    <t>11|550</t>
  </si>
  <si>
    <t>11.5|550</t>
  </si>
  <si>
    <t>12|550</t>
  </si>
  <si>
    <t>12.5|550</t>
  </si>
  <si>
    <t>13|550</t>
  </si>
  <si>
    <t>13.5|550</t>
  </si>
  <si>
    <t>14|550</t>
  </si>
  <si>
    <t>14.5|550</t>
  </si>
  <si>
    <t>15|550</t>
  </si>
  <si>
    <t>15.5|550</t>
  </si>
  <si>
    <t>16|550</t>
  </si>
  <si>
    <t>16.5|550</t>
  </si>
  <si>
    <t>17|550</t>
  </si>
  <si>
    <t>17.5|550</t>
  </si>
  <si>
    <t>18|550</t>
  </si>
  <si>
    <t>18.5|550</t>
  </si>
  <si>
    <t>19|550</t>
  </si>
  <si>
    <t>19.5|550</t>
  </si>
  <si>
    <t>20|550</t>
  </si>
  <si>
    <t>20.5|550</t>
  </si>
  <si>
    <t>21|550</t>
  </si>
  <si>
    <t>21.5|550</t>
  </si>
  <si>
    <t>22|550</t>
  </si>
  <si>
    <t>22.5|550</t>
  </si>
  <si>
    <t>23|550</t>
  </si>
  <si>
    <t>23.5|550</t>
  </si>
  <si>
    <t>24|550</t>
  </si>
  <si>
    <t>24.5|550</t>
  </si>
  <si>
    <t>25|550</t>
  </si>
  <si>
    <t>10|575</t>
  </si>
  <si>
    <t>10.5|575</t>
  </si>
  <si>
    <t>11|575</t>
  </si>
  <si>
    <t>11.5|575</t>
  </si>
  <si>
    <t>12|575</t>
  </si>
  <si>
    <t>12.5|575</t>
  </si>
  <si>
    <t>13|575</t>
  </si>
  <si>
    <t>13.5|575</t>
  </si>
  <si>
    <t>14|575</t>
  </si>
  <si>
    <t>14.5|575</t>
  </si>
  <si>
    <t>15|575</t>
  </si>
  <si>
    <t>15.5|575</t>
  </si>
  <si>
    <t>16|575</t>
  </si>
  <si>
    <t>16.5|575</t>
  </si>
  <si>
    <t>17|575</t>
  </si>
  <si>
    <t>17.5|575</t>
  </si>
  <si>
    <t>18|575</t>
  </si>
  <si>
    <t>18.5|575</t>
  </si>
  <si>
    <t>19|575</t>
  </si>
  <si>
    <t>19.5|575</t>
  </si>
  <si>
    <t>20|575</t>
  </si>
  <si>
    <t>20.5|575</t>
  </si>
  <si>
    <t>21|575</t>
  </si>
  <si>
    <t>21.5|575</t>
  </si>
  <si>
    <t>22|575</t>
  </si>
  <si>
    <t>22.5|575</t>
  </si>
  <si>
    <t>23|575</t>
  </si>
  <si>
    <t>23.5|575</t>
  </si>
  <si>
    <t>24|575</t>
  </si>
  <si>
    <t>24.5|575</t>
  </si>
  <si>
    <t>25|575</t>
  </si>
  <si>
    <t>10|600</t>
  </si>
  <si>
    <t>10.5|600</t>
  </si>
  <si>
    <t>11|600</t>
  </si>
  <si>
    <t>11.5|600</t>
  </si>
  <si>
    <t>12|600</t>
  </si>
  <si>
    <t>12.5|600</t>
  </si>
  <si>
    <t>13|600</t>
  </si>
  <si>
    <t>13.5|600</t>
  </si>
  <si>
    <t>14|600</t>
  </si>
  <si>
    <t>14.5|600</t>
  </si>
  <si>
    <t>15|600</t>
  </si>
  <si>
    <t>15.5|600</t>
  </si>
  <si>
    <t>16|600</t>
  </si>
  <si>
    <t>16.5|600</t>
  </si>
  <si>
    <t>17|600</t>
  </si>
  <si>
    <t>17.5|600</t>
  </si>
  <si>
    <t>18|600</t>
  </si>
  <si>
    <t>18.5|600</t>
  </si>
  <si>
    <t>19|600</t>
  </si>
  <si>
    <t>19.5|600</t>
  </si>
  <si>
    <t>20|600</t>
  </si>
  <si>
    <t>20.5|600</t>
  </si>
  <si>
    <t>21|600</t>
  </si>
  <si>
    <t>21.5|600</t>
  </si>
  <si>
    <t>22|600</t>
  </si>
  <si>
    <t>22.5|600</t>
  </si>
  <si>
    <t>23|600</t>
  </si>
  <si>
    <t>23.5|600</t>
  </si>
  <si>
    <t>24|600</t>
  </si>
  <si>
    <t>24.5|600</t>
  </si>
  <si>
    <t>25|600</t>
  </si>
  <si>
    <t>Logic Key</t>
  </si>
  <si>
    <t>Speed/Rev %</t>
  </si>
  <si>
    <t>Weak</t>
  </si>
  <si>
    <t>Layout Strength</t>
  </si>
  <si>
    <t>Pin-To-PAP Center</t>
  </si>
  <si>
    <t>Logic</t>
  </si>
  <si>
    <t>Very Weak</t>
  </si>
  <si>
    <t>Very Strong</t>
  </si>
  <si>
    <t>Low RG Logic</t>
  </si>
  <si>
    <t>More Rev Dominant</t>
  </si>
  <si>
    <t>More Speed Dominant</t>
  </si>
  <si>
    <t>Total Lane Influence</t>
  </si>
  <si>
    <t>Total Differential</t>
  </si>
  <si>
    <t>Heavy Pattern</t>
  </si>
  <si>
    <t>Light Pattern</t>
  </si>
  <si>
    <t>Very Heavy Pattern</t>
  </si>
  <si>
    <t>Very Light Pattern</t>
  </si>
  <si>
    <t>Total Tilt/Rotation Influence</t>
  </si>
  <si>
    <t>Transition Type Influence</t>
  </si>
  <si>
    <t>Total Reaction Influence</t>
  </si>
  <si>
    <t>Total Ball Dynamic Influence</t>
  </si>
  <si>
    <t>Ball Speed/Rev Rate</t>
  </si>
  <si>
    <t>Axis Tilt/Rotation</t>
  </si>
  <si>
    <t>Pattern Influence</t>
  </si>
  <si>
    <t>Ball Dynamics</t>
  </si>
  <si>
    <t>Low RG Pin-To-PAP Distance</t>
  </si>
  <si>
    <t>High RG Pin-To-PAP Distance</t>
  </si>
  <si>
    <t>Whole Number</t>
  </si>
  <si>
    <t>Pin-To-PAP Final Display Distance</t>
  </si>
  <si>
    <t>Exact Pin-To-PAP Distance</t>
  </si>
  <si>
    <t>Centers</t>
  </si>
  <si>
    <t>Late - Angular</t>
  </si>
  <si>
    <t>Exact PSA-To-PAP Distance</t>
  </si>
  <si>
    <t>Minimum Logic</t>
  </si>
  <si>
    <t>PSA-To-PAP Distance - Minimum Logic</t>
  </si>
  <si>
    <t>True PSA-To-PAP Distance</t>
  </si>
  <si>
    <t>Final PSA-To-PAP Distance</t>
  </si>
  <si>
    <t>Remainder Logic</t>
  </si>
  <si>
    <t>Remainder Logic - Minimum</t>
  </si>
  <si>
    <t>Remainder Logic - True</t>
  </si>
  <si>
    <t>Minimum</t>
  </si>
  <si>
    <t>Rounding Logic - True</t>
  </si>
  <si>
    <t>Rounding Logic - Minimum</t>
  </si>
  <si>
    <t>Final Pin Buffer Distance</t>
  </si>
  <si>
    <t>PSA Center</t>
  </si>
  <si>
    <t>PSA Strength</t>
  </si>
  <si>
    <t>Medium Pattern</t>
  </si>
  <si>
    <t>Ball Speed/Rev Rate Total Combinations</t>
  </si>
  <si>
    <t>More Dynamic</t>
  </si>
  <si>
    <t>Most Dynamic</t>
  </si>
  <si>
    <t>Balanced</t>
  </si>
  <si>
    <t>Less Dynamic</t>
  </si>
  <si>
    <t>Least Dynamic</t>
  </si>
  <si>
    <t>Create Logic Key</t>
  </si>
  <si>
    <t>PIN-TO-PAP CALCULATION - BALL SPEED/REV RATE</t>
  </si>
  <si>
    <t>PIN-TO-PAP CALCULATION - AXIS TILT/AXIS ROTATION</t>
  </si>
  <si>
    <t>PIN-TO-PAP CALCULATION - PATTERN DETAILS</t>
  </si>
  <si>
    <t>PIN-TO-PAP CALCULATION - BALL MOTION</t>
  </si>
  <si>
    <t>PIN-TO-PAP CALCULATION - BALL DYNAMICS</t>
  </si>
  <si>
    <t>PIN-TO-PAP DISPLAY LOGIC</t>
  </si>
  <si>
    <t>ROUNDING LOGIC</t>
  </si>
  <si>
    <t>Blend PSA-To-PAP Distance</t>
  </si>
  <si>
    <t>Angular PSA-To-PAP Distance</t>
  </si>
  <si>
    <t>Control PSA-To-PAP Distance</t>
  </si>
  <si>
    <t>Display Logic</t>
  </si>
  <si>
    <t>End Logic</t>
  </si>
  <si>
    <t>Blend Key</t>
  </si>
  <si>
    <t>Control/Angular Key</t>
  </si>
  <si>
    <t>Control/Angular Values</t>
  </si>
  <si>
    <t>Blended Values</t>
  </si>
  <si>
    <t>Shape</t>
  </si>
  <si>
    <t>Shape Value</t>
  </si>
  <si>
    <t>Length Value</t>
  </si>
  <si>
    <t>Middle</t>
  </si>
  <si>
    <t>Latest</t>
  </si>
  <si>
    <t>Earliest</t>
  </si>
  <si>
    <t>Minimum Logic - Value</t>
  </si>
  <si>
    <t>PIN BUFFER CALCULATION - BALL SPEED/REV RATE</t>
  </si>
  <si>
    <t>PIN BUFFER DISPLAY LOGIC</t>
  </si>
  <si>
    <t>Early - Smooth</t>
  </si>
  <si>
    <t>Medium - Blended</t>
  </si>
  <si>
    <t>Ball Motion Influence</t>
  </si>
  <si>
    <t>Ball Dynamic Influence</t>
  </si>
  <si>
    <t>ASYMMETRICAL PSA-TO-PAP CALCULATION - BALL SPEED/REV RATE</t>
  </si>
  <si>
    <t>ASYMMETRICAL PSA-TO-PAP DISPLAY LOGIC</t>
  </si>
  <si>
    <t>SYMMETRICAL PSA-TO-PAP DISPLAY LOGIC</t>
  </si>
  <si>
    <t>SYMMETRICAL PSA-TO-PAP CALCULATION - BALL SPEED/REV RATE</t>
  </si>
  <si>
    <t>SYMMETRICAL PSA-TO-PAP CALCULATION - AXIS TILT/AXIS ROTATION</t>
  </si>
  <si>
    <t>SYMMETRICAL PSA-TO-PAP CALCULATION - LANE INFLUENCE</t>
  </si>
  <si>
    <t>SYMMETRICAL PSA-TO-PAP CALCULATION - SHAPE</t>
  </si>
  <si>
    <t>SYMMETRICAL PSA-TO-PAP CALCULATION - BALL DYNAMICS</t>
  </si>
  <si>
    <t>High/Low Tilt/Rotation</t>
  </si>
  <si>
    <t>Light/Heavy Pattern</t>
  </si>
  <si>
    <t>Angular/Control</t>
  </si>
  <si>
    <t>Strong/Weak Ball</t>
  </si>
  <si>
    <t>Final Distance</t>
  </si>
  <si>
    <t>Click on the Variables Below to Start Instructional Video</t>
  </si>
  <si>
    <t>Shape/Length</t>
  </si>
  <si>
    <t>Display</t>
  </si>
  <si>
    <t>High Side</t>
  </si>
  <si>
    <t>Low Side Logic</t>
  </si>
  <si>
    <t>High Side Logic</t>
  </si>
  <si>
    <t>Pin Buffer Center Low</t>
  </si>
  <si>
    <t>Pin Buffer Center High</t>
  </si>
  <si>
    <t xml:space="preserve">Low Side  </t>
  </si>
  <si>
    <t>ADJUSTMENT FOR ALL PIN BUFFER VARIABLES</t>
  </si>
  <si>
    <t xml:space="preserve">PIN BUFFER - BALL MOTION </t>
  </si>
  <si>
    <t>PIN BUFFER - LANE INFLUENCE</t>
  </si>
  <si>
    <t>PIN BUFFER - TILT/ROTATION INFLUENCE</t>
  </si>
  <si>
    <t>ASYMMETRICAL PSA-TO-PAP CALCULATION - SHAPE</t>
  </si>
  <si>
    <t>ASYMMETRICAL PSA-TO-PAP CALCULATION - BALL DYNAMICS</t>
  </si>
  <si>
    <t>ASYMMETRICAL PSA-TO-PAP CALCULATION - LANE INFLUENCE</t>
  </si>
  <si>
    <t>ASYMMETRICAL PSA-TO-PAP CALCULATION - AXIS TILT/AXIS ROTATION</t>
  </si>
  <si>
    <t>Furthermore, the system is based on a series of equations and rules gained through testing, research, and third-party verification. The accuracy of the system is subject to accurately identifying the listed variables.   Storm Products, Inc. guarantees the quality of all products we manufacture, but cannot extend such guarantee to products which we do not produce. As such, the accuracy of the recommended layout on products not produced by Storm may be subject to the information inputted.</t>
  </si>
  <si>
    <t>It is the ultimate responsibility of the pro shop to adjust, as necessary, to avoid any tracking issues caused by layout choice. The pro shop must also check for static compliance with current United States Bowling Congress (USBC) rules. Storm Products will not be held liable for aforementioned tracking issues, performance issues, static weight issues, or any alleged damages caused by the use of this system as it is only a recommendation and cannot outperform, out-think, or replace the need of a professional ball driller.</t>
  </si>
  <si>
    <t>DISCLAIMER</t>
  </si>
  <si>
    <t>Pin-To-PAP</t>
  </si>
  <si>
    <t>PSA-To-PAP</t>
  </si>
  <si>
    <t>Pattern Length</t>
  </si>
  <si>
    <t>Pattern Volume</t>
  </si>
  <si>
    <t>Low RG Value</t>
  </si>
  <si>
    <t>Is Pin Between 2.5-4.5</t>
  </si>
  <si>
    <t>Total Logic</t>
  </si>
  <si>
    <t>Message</t>
  </si>
  <si>
    <t>Pin Buffer &gt; 75%</t>
  </si>
  <si>
    <t>Is Diff &gt; 0.030</t>
  </si>
  <si>
    <t>Warning messages will prompt here if any data is entered that can potentially cause tracking issues. Evaluate with a pro shop professional prior to drilling.</t>
  </si>
  <si>
    <t>The user-inputted variables for "Rev Rate" and "Total Differential" can result in tracking issues with the VLS recommended Pin-To-PAP Distance. Please evaluate with a pro shop professional prior to drilling.</t>
  </si>
  <si>
    <t>The user-inputted variable for "Axis Tilt" can result in tracking issues with the VLS recommended Pin Buffer. Please evaluate with a pro shop professional prior to drilling.</t>
  </si>
  <si>
    <t>Distance &lt; 8"</t>
  </si>
  <si>
    <t>PSA &lt; 2.75"</t>
  </si>
  <si>
    <t>The VLS recommended layout may need to be adjusted by a pro shop professional to keep static weights within USBC tolerances depending on the Pin-To-CG distance and top weight of the bowling ball.</t>
  </si>
  <si>
    <t>Any Errors?</t>
  </si>
  <si>
    <t>Rev &gt;= 350?</t>
  </si>
  <si>
    <t>Axis Tilt &lt;= 6 Degrees?</t>
  </si>
  <si>
    <t>Low/High RG Layout</t>
  </si>
  <si>
    <t>VLS 2.0</t>
  </si>
  <si>
    <t>VLS 2.0™ Recommended Layout</t>
  </si>
  <si>
    <t>The VLS™ 2.0 has been designed to give a recommended layout based on a number of user-inputted variables. It is subject to the accuracy of the information entered into this form.  Please see the disclaimer tab for full details before using.</t>
  </si>
  <si>
    <t>VLS 2.0 Recommended Layout Warning</t>
  </si>
  <si>
    <t>The VLS™ 2.0 (Vector Layout System) was designed to give recommendations based on several layout influencing variables that are inputted by the user. However, due to the uniqueness of every bowler’s release and the environment they are bowling in, the system is not foolproof. Warning messages are programmed to appear in an effort to assist bowlers, but they do not cover every single scenario. The layouts recommended by this system are merely a starting point and should be adjusted as needed, especially if the bowler has a unique release that is prone to tracking issues. In such case, it is the responsibility of the ball driller, before drilling any holes, to look for and make any corrections, as necessary, to avoid tracking issues. The system was designed as an aid for pro shop professionals but does not take away the merits or responsibilities of said drilling professionals to ensure the highest quality, performance, and reaction for their customers.</t>
  </si>
  <si>
    <t>0 Logic</t>
  </si>
  <si>
    <t>Total Logic - Errors</t>
  </si>
  <si>
    <t>PSA</t>
  </si>
  <si>
    <t>The intermediate differential cannot exceed the total differential. Please resolve for a recommended layout.</t>
  </si>
  <si>
    <t>0.06</t>
  </si>
  <si>
    <t>0.059</t>
  </si>
  <si>
    <t>0.058</t>
  </si>
  <si>
    <t>0.057</t>
  </si>
  <si>
    <t>0.056</t>
  </si>
  <si>
    <t>0.055</t>
  </si>
  <si>
    <t>0.054</t>
  </si>
  <si>
    <t>0.053</t>
  </si>
  <si>
    <t>0.052</t>
  </si>
  <si>
    <t>0.051</t>
  </si>
  <si>
    <t>0.05</t>
  </si>
  <si>
    <t>sixty</t>
  </si>
  <si>
    <t>fiftynine</t>
  </si>
  <si>
    <t>fiftyeight</t>
  </si>
  <si>
    <t>zero</t>
  </si>
  <si>
    <t>one</t>
  </si>
  <si>
    <t>three</t>
  </si>
  <si>
    <t>four</t>
  </si>
  <si>
    <t>five</t>
  </si>
  <si>
    <t>six</t>
  </si>
  <si>
    <t>seven</t>
  </si>
  <si>
    <t>eight</t>
  </si>
  <si>
    <t>nine</t>
  </si>
  <si>
    <t>ten</t>
  </si>
  <si>
    <t>eleven</t>
  </si>
  <si>
    <t>twelve</t>
  </si>
  <si>
    <t>thirteen</t>
  </si>
  <si>
    <t>fourteen</t>
  </si>
  <si>
    <t>fifteen</t>
  </si>
  <si>
    <t>sixteen</t>
  </si>
  <si>
    <t>seventeen</t>
  </si>
  <si>
    <t>eighteen</t>
  </si>
  <si>
    <t>ninteen</t>
  </si>
  <si>
    <t>twenty</t>
  </si>
  <si>
    <t>twentyone</t>
  </si>
  <si>
    <t>twentytwo</t>
  </si>
  <si>
    <t>twentythree</t>
  </si>
  <si>
    <t>twentyfour</t>
  </si>
  <si>
    <t>twentyfive</t>
  </si>
  <si>
    <t>twentysix</t>
  </si>
  <si>
    <t>twentyseven</t>
  </si>
  <si>
    <t>twentyeight</t>
  </si>
  <si>
    <t>twentynine</t>
  </si>
  <si>
    <t>thirty</t>
  </si>
  <si>
    <t>thirtyone</t>
  </si>
  <si>
    <t>thirtytwo</t>
  </si>
  <si>
    <t>thirtythree</t>
  </si>
  <si>
    <t>thirtyfour</t>
  </si>
  <si>
    <t>thirtyfive</t>
  </si>
  <si>
    <t>thirtysix</t>
  </si>
  <si>
    <t>thirtyseven</t>
  </si>
  <si>
    <t>thirtyeight</t>
  </si>
  <si>
    <t>thirtynine</t>
  </si>
  <si>
    <t>fourty</t>
  </si>
  <si>
    <t>fourtyone</t>
  </si>
  <si>
    <t>fourtytwo</t>
  </si>
  <si>
    <t>fourtythree</t>
  </si>
  <si>
    <t>fourtyfour</t>
  </si>
  <si>
    <t>fourtyfive</t>
  </si>
  <si>
    <t>fourtysix</t>
  </si>
  <si>
    <t>fourtyseven</t>
  </si>
  <si>
    <t>fourtyeight</t>
  </si>
  <si>
    <t>fourtynine</t>
  </si>
  <si>
    <t>fifty</t>
  </si>
  <si>
    <t>fiftyone</t>
  </si>
  <si>
    <t>fiftytwo</t>
  </si>
  <si>
    <t>fiftythree</t>
  </si>
  <si>
    <t>fiftyfour</t>
  </si>
  <si>
    <t>fiftyfive</t>
  </si>
  <si>
    <t>fiftysix</t>
  </si>
  <si>
    <t>fiftyseven</t>
  </si>
  <si>
    <t>two</t>
  </si>
  <si>
    <t>0.049</t>
  </si>
  <si>
    <t>0.048</t>
  </si>
  <si>
    <t>0.047</t>
  </si>
  <si>
    <t>0.046</t>
  </si>
  <si>
    <t>0.045</t>
  </si>
  <si>
    <t>0.044</t>
  </si>
  <si>
    <t>0.043</t>
  </si>
  <si>
    <t>0.042</t>
  </si>
  <si>
    <t>0.041</t>
  </si>
  <si>
    <t>0.04</t>
  </si>
  <si>
    <t>0.039</t>
  </si>
  <si>
    <t>0.038</t>
  </si>
  <si>
    <t>0.037</t>
  </si>
  <si>
    <t>0.036</t>
  </si>
  <si>
    <t>0.035</t>
  </si>
  <si>
    <t>0.034</t>
  </si>
  <si>
    <t>0.033</t>
  </si>
  <si>
    <t>0.032</t>
  </si>
  <si>
    <t>0.031</t>
  </si>
  <si>
    <t>0.03</t>
  </si>
  <si>
    <t>0.029</t>
  </si>
  <si>
    <t>0.028</t>
  </si>
  <si>
    <t>0.027</t>
  </si>
  <si>
    <t>0.026</t>
  </si>
  <si>
    <t>0.025</t>
  </si>
  <si>
    <t>0.024</t>
  </si>
  <si>
    <t>0.023</t>
  </si>
  <si>
    <t>0.022</t>
  </si>
  <si>
    <t>0.021</t>
  </si>
  <si>
    <t>0.02</t>
  </si>
  <si>
    <t>0.019</t>
  </si>
  <si>
    <t>0.018</t>
  </si>
  <si>
    <t>0.017</t>
  </si>
  <si>
    <t>0.016</t>
  </si>
  <si>
    <t>0.015</t>
  </si>
  <si>
    <t>0.014</t>
  </si>
  <si>
    <t>0.013</t>
  </si>
  <si>
    <t>0.012</t>
  </si>
  <si>
    <t>0.011</t>
  </si>
  <si>
    <t>0.01</t>
  </si>
  <si>
    <t>0.009</t>
  </si>
  <si>
    <t>0.008</t>
  </si>
  <si>
    <t>0.007</t>
  </si>
  <si>
    <t>0.006</t>
  </si>
  <si>
    <t>0.005</t>
  </si>
  <si>
    <t>0.004</t>
  </si>
  <si>
    <t>0.003</t>
  </si>
  <si>
    <t>0.002</t>
  </si>
  <si>
    <t>0.001</t>
  </si>
  <si>
    <t>0.000</t>
  </si>
  <si>
    <t>Customer Name:</t>
  </si>
  <si>
    <t>Date:</t>
  </si>
  <si>
    <t>PAP:</t>
  </si>
  <si>
    <t>Ball:</t>
  </si>
  <si>
    <t>HOW TO IDENTIFY USER-INPUTTED VARIABLE VALUES</t>
  </si>
  <si>
    <t>Vector Layout System by Storm®</t>
  </si>
  <si>
    <t>Customer Information</t>
  </si>
  <si>
    <t>User Inputted Blank Logic</t>
  </si>
  <si>
    <t>Error Message</t>
  </si>
  <si>
    <t>Full Message</t>
  </si>
  <si>
    <t>PSA Value</t>
  </si>
  <si>
    <t>PSA Logic</t>
  </si>
  <si>
    <t>PSA Error</t>
  </si>
  <si>
    <t>Error With PSA</t>
  </si>
  <si>
    <t xml:space="preserve">two </t>
  </si>
  <si>
    <t>Table Names</t>
  </si>
  <si>
    <t>List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</si>
</sst>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21" x14ac:knownFonts="1">
    <font>
      <sz val="11"/>
      <color theme="1"/>
      <name val="Calibri"/>
      <family val="2"/>
      <scheme val="minor"/>
    </font>
    <font>
      <sz val="12"/>
      <color theme="1"/>
      <name val="Calibri"/>
      <family val="2"/>
      <scheme val="minor"/>
    </font>
    <font>
      <b/>
      <sz val="11"/>
      <color theme="1"/>
      <name val="Calibri"/>
      <family val="2"/>
      <scheme val="minor"/>
    </font>
    <font>
      <b/>
      <sz val="22"/>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1"/>
      <color theme="1"/>
      <name val="Calibri"/>
      <family val="2"/>
      <scheme val="minor"/>
    </font>
    <font>
      <sz val="8"/>
      <name val="Calibri"/>
      <family val="2"/>
      <scheme val="minor"/>
    </font>
    <font>
      <b/>
      <sz val="20"/>
      <color theme="1"/>
      <name val="Calibri"/>
      <family val="2"/>
      <scheme val="minor"/>
    </font>
    <font>
      <u/>
      <sz val="11"/>
      <color theme="10"/>
      <name val="Calibri"/>
      <family val="2"/>
      <scheme val="minor"/>
    </font>
    <font>
      <sz val="24"/>
      <color theme="1"/>
      <name val="Calibri"/>
      <family val="2"/>
      <scheme val="minor"/>
    </font>
    <font>
      <b/>
      <sz val="24"/>
      <color theme="1"/>
      <name val="Calibri"/>
      <family val="2"/>
      <scheme val="minor"/>
    </font>
    <font>
      <b/>
      <u/>
      <sz val="36"/>
      <color theme="1"/>
      <name val="Calibri"/>
      <family val="2"/>
      <scheme val="minor"/>
    </font>
    <font>
      <u/>
      <sz val="12"/>
      <color theme="10"/>
      <name val="Calibri"/>
      <family val="2"/>
      <scheme val="minor"/>
    </font>
    <font>
      <sz val="14"/>
      <color theme="1"/>
      <name val="Calibri"/>
      <family val="2"/>
      <scheme val="minor"/>
    </font>
    <font>
      <sz val="11"/>
      <color theme="0"/>
      <name val="Calibri"/>
      <family val="2"/>
      <scheme val="minor"/>
    </font>
    <font>
      <b/>
      <sz val="36"/>
      <color theme="1"/>
      <name val="Calibri"/>
      <family val="2"/>
      <scheme val="minor"/>
    </font>
    <font>
      <sz val="12"/>
      <color theme="0"/>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theme="1"/>
      </bottom>
      <diagonal/>
    </border>
  </borders>
  <cellStyleXfs count="3">
    <xf numFmtId="0" fontId="0" fillId="0" borderId="0"/>
    <xf numFmtId="9" fontId="8" fillId="0" borderId="0" applyFont="0" applyFill="0" applyBorder="0" applyAlignment="0" applyProtection="0"/>
    <xf numFmtId="0" fontId="11" fillId="0" borderId="0" applyNumberFormat="0" applyFill="0" applyBorder="0" applyAlignment="0" applyProtection="0"/>
  </cellStyleXfs>
  <cellXfs count="228">
    <xf numFmtId="0" fontId="0" fillId="0" borderId="0" xfId="0"/>
    <xf numFmtId="0" fontId="0" fillId="2" borderId="0" xfId="0" applyFill="1" applyBorder="1" applyAlignment="1">
      <alignment vertical="top" wrapText="1"/>
    </xf>
    <xf numFmtId="0" fontId="0" fillId="2" borderId="0" xfId="0" applyFill="1"/>
    <xf numFmtId="0" fontId="0" fillId="2" borderId="0" xfId="0" applyFill="1" applyAlignment="1">
      <alignment vertical="top" wrapText="1"/>
    </xf>
    <xf numFmtId="12" fontId="2" fillId="2" borderId="1" xfId="0" applyNumberFormat="1" applyFont="1" applyFill="1" applyBorder="1" applyAlignment="1" applyProtection="1">
      <alignment horizontal="center" vertical="center"/>
      <protection hidden="1"/>
    </xf>
    <xf numFmtId="0" fontId="0" fillId="2" borderId="0" xfId="0" applyFill="1" applyProtection="1">
      <protection hidden="1"/>
    </xf>
    <xf numFmtId="0" fontId="5" fillId="2" borderId="15"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locked="0" hidden="1"/>
    </xf>
    <xf numFmtId="0" fontId="5" fillId="2" borderId="1"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locked="0" hidden="1"/>
    </xf>
    <xf numFmtId="0" fontId="0" fillId="2" borderId="15"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164" fontId="6" fillId="2" borderId="16" xfId="0" applyNumberFormat="1" applyFont="1" applyFill="1" applyBorder="1" applyAlignment="1" applyProtection="1">
      <alignment horizontal="center" vertical="center"/>
      <protection locked="0" hidden="1"/>
    </xf>
    <xf numFmtId="164" fontId="0" fillId="2" borderId="0" xfId="0" applyNumberFormat="1" applyFill="1" applyBorder="1" applyAlignment="1" applyProtection="1">
      <alignment vertical="center"/>
      <protection hidden="1"/>
    </xf>
    <xf numFmtId="164" fontId="0" fillId="2" borderId="0" xfId="0" applyNumberForma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locked="0" hidden="1"/>
    </xf>
    <xf numFmtId="0" fontId="4" fillId="2" borderId="15" xfId="0" applyFont="1" applyFill="1" applyBorder="1" applyAlignment="1" applyProtection="1">
      <alignment vertical="center"/>
      <protection hidden="1"/>
    </xf>
    <xf numFmtId="0" fontId="4" fillId="2" borderId="16" xfId="0" applyFont="1" applyFill="1" applyBorder="1" applyAlignment="1" applyProtection="1">
      <alignment vertical="center"/>
      <protection hidden="1"/>
    </xf>
    <xf numFmtId="0" fontId="2" fillId="2" borderId="1"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0" fillId="2" borderId="15" xfId="0" applyFill="1" applyBorder="1" applyAlignment="1" applyProtection="1">
      <alignment vertical="center"/>
      <protection hidden="1"/>
    </xf>
    <xf numFmtId="0" fontId="0" fillId="2" borderId="1" xfId="0" applyFill="1" applyBorder="1" applyAlignment="1" applyProtection="1">
      <alignment vertical="center"/>
      <protection hidden="1"/>
    </xf>
    <xf numFmtId="0" fontId="0" fillId="2" borderId="16" xfId="0" applyFill="1" applyBorder="1" applyAlignment="1" applyProtection="1">
      <alignment vertical="center"/>
      <protection hidden="1"/>
    </xf>
    <xf numFmtId="0" fontId="0" fillId="2" borderId="15" xfId="0" applyFill="1" applyBorder="1" applyProtection="1">
      <protection hidden="1"/>
    </xf>
    <xf numFmtId="0" fontId="0" fillId="2" borderId="1" xfId="0" applyFill="1" applyBorder="1" applyProtection="1">
      <protection hidden="1"/>
    </xf>
    <xf numFmtId="0" fontId="0" fillId="2" borderId="16" xfId="0" applyFill="1" applyBorder="1" applyProtection="1">
      <protection hidden="1"/>
    </xf>
    <xf numFmtId="0" fontId="7" fillId="2" borderId="15" xfId="0" applyFont="1" applyFill="1" applyBorder="1" applyAlignment="1" applyProtection="1">
      <alignment vertical="top"/>
      <protection hidden="1"/>
    </xf>
    <xf numFmtId="0" fontId="7" fillId="2" borderId="16" xfId="0" applyFont="1" applyFill="1" applyBorder="1" applyAlignment="1" applyProtection="1">
      <alignment vertical="top"/>
      <protection hidden="1"/>
    </xf>
    <xf numFmtId="0" fontId="0" fillId="2" borderId="7" xfId="0" applyFill="1" applyBorder="1" applyProtection="1">
      <protection hidden="1"/>
    </xf>
    <xf numFmtId="0" fontId="12" fillId="2" borderId="8" xfId="0" applyFont="1" applyFill="1" applyBorder="1" applyAlignment="1" applyProtection="1">
      <alignment horizontal="center" vertical="center"/>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2" borderId="0" xfId="0" applyFill="1" applyBorder="1" applyAlignment="1" applyProtection="1">
      <alignment vertical="top" wrapText="1"/>
      <protection hidden="1"/>
    </xf>
    <xf numFmtId="0" fontId="0" fillId="2" borderId="0" xfId="0" applyFill="1" applyBorder="1" applyAlignment="1" applyProtection="1">
      <alignment vertical="center" wrapText="1"/>
      <protection hidden="1"/>
    </xf>
    <xf numFmtId="0" fontId="0" fillId="2" borderId="12" xfId="0" applyFill="1" applyBorder="1" applyProtection="1">
      <protection hidden="1"/>
    </xf>
    <xf numFmtId="0" fontId="0" fillId="2" borderId="13" xfId="0" applyFill="1" applyBorder="1" applyAlignment="1" applyProtection="1">
      <alignment vertical="top" wrapText="1"/>
      <protection hidden="1"/>
    </xf>
    <xf numFmtId="0" fontId="0" fillId="2" borderId="14" xfId="0" applyFill="1" applyBorder="1" applyProtection="1">
      <protection hidden="1"/>
    </xf>
    <xf numFmtId="0" fontId="5" fillId="2" borderId="1" xfId="0" applyFont="1" applyFill="1" applyBorder="1" applyAlignment="1" applyProtection="1">
      <alignment vertical="center" wrapText="1"/>
      <protection hidden="1"/>
    </xf>
    <xf numFmtId="0" fontId="5" fillId="2" borderId="15" xfId="0" applyFont="1" applyFill="1" applyBorder="1" applyAlignment="1" applyProtection="1">
      <alignment vertical="center" wrapText="1"/>
      <protection hidden="1"/>
    </xf>
    <xf numFmtId="0" fontId="5" fillId="2" borderId="16" xfId="0" applyFont="1" applyFill="1" applyBorder="1" applyAlignment="1" applyProtection="1">
      <alignment vertical="center" wrapText="1"/>
      <protection hidden="1"/>
    </xf>
    <xf numFmtId="0" fontId="16" fillId="2" borderId="0" xfId="0" applyFont="1" applyFill="1" applyBorder="1" applyAlignment="1" applyProtection="1">
      <alignment vertical="center" wrapText="1"/>
      <protection hidden="1"/>
    </xf>
    <xf numFmtId="0" fontId="0" fillId="2" borderId="0" xfId="0" applyFill="1" applyBorder="1" applyProtection="1">
      <protection hidden="1"/>
    </xf>
    <xf numFmtId="0" fontId="10" fillId="2" borderId="0" xfId="0" applyFont="1" applyFill="1" applyBorder="1" applyAlignment="1" applyProtection="1">
      <alignment horizontal="center" vertical="center" wrapText="1"/>
      <protection hidden="1"/>
    </xf>
    <xf numFmtId="0" fontId="4" fillId="2" borderId="26" xfId="0" applyFont="1" applyFill="1" applyBorder="1" applyAlignment="1" applyProtection="1">
      <alignment vertical="center"/>
      <protection hidden="1"/>
    </xf>
    <xf numFmtId="0" fontId="4" fillId="2" borderId="28" xfId="0" applyFont="1" applyFill="1" applyBorder="1" applyAlignment="1" applyProtection="1">
      <alignment vertical="center"/>
      <protection hidden="1"/>
    </xf>
    <xf numFmtId="0" fontId="2" fillId="2" borderId="0" xfId="0" applyFont="1" applyFill="1" applyBorder="1" applyAlignment="1" applyProtection="1">
      <alignment horizontal="center"/>
      <protection hidden="1"/>
    </xf>
    <xf numFmtId="0" fontId="0" fillId="2" borderId="0" xfId="0" applyFill="1" applyBorder="1" applyAlignment="1" applyProtection="1">
      <alignment horizontal="center" vertical="center"/>
      <protection hidden="1"/>
    </xf>
    <xf numFmtId="0" fontId="5" fillId="2" borderId="1" xfId="0" applyFont="1" applyFill="1" applyBorder="1" applyAlignment="1" applyProtection="1">
      <alignment horizontal="center"/>
      <protection hidden="1"/>
    </xf>
    <xf numFmtId="0" fontId="19" fillId="2" borderId="16" xfId="0" applyFont="1" applyFill="1" applyBorder="1" applyAlignment="1" applyProtection="1">
      <alignment horizontal="center" vertical="center"/>
      <protection hidden="1"/>
    </xf>
    <xf numFmtId="164" fontId="6" fillId="2" borderId="16" xfId="0" applyNumberFormat="1" applyFont="1" applyFill="1" applyBorder="1" applyAlignment="1" applyProtection="1">
      <alignment horizontal="center" vertical="center"/>
      <protection hidden="1"/>
    </xf>
    <xf numFmtId="0" fontId="0" fillId="2" borderId="0" xfId="0" applyFont="1" applyFill="1" applyBorder="1" applyAlignment="1" applyProtection="1">
      <alignment vertical="center" wrapText="1"/>
      <protection hidden="1"/>
    </xf>
    <xf numFmtId="164" fontId="0" fillId="2" borderId="0" xfId="0" applyNumberFormat="1" applyFill="1" applyProtection="1">
      <protection hidden="1"/>
    </xf>
    <xf numFmtId="0" fontId="0" fillId="2" borderId="0" xfId="0" applyNumberFormat="1" applyFill="1" applyProtection="1">
      <protection hidden="1"/>
    </xf>
    <xf numFmtId="0" fontId="0" fillId="2" borderId="0" xfId="0" applyFont="1" applyFill="1" applyProtection="1">
      <protection hidden="1"/>
    </xf>
    <xf numFmtId="14" fontId="1" fillId="2" borderId="16" xfId="0" applyNumberFormat="1" applyFont="1" applyFill="1" applyBorder="1" applyAlignment="1" applyProtection="1">
      <alignment horizontal="center" vertical="center"/>
      <protection locked="0" hidden="1"/>
    </xf>
    <xf numFmtId="0" fontId="1" fillId="2" borderId="16" xfId="0" applyFont="1" applyFill="1" applyBorder="1" applyAlignment="1" applyProtection="1">
      <alignment horizontal="center"/>
      <protection locked="0" hidden="1"/>
    </xf>
    <xf numFmtId="0" fontId="17" fillId="2" borderId="0" xfId="0" applyFont="1" applyFill="1" applyProtection="1">
      <protection hidden="1"/>
    </xf>
    <xf numFmtId="0" fontId="17" fillId="2" borderId="0" xfId="0" applyFont="1" applyFill="1" applyBorder="1" applyAlignment="1" applyProtection="1">
      <alignment horizontal="left"/>
      <protection hidden="1"/>
    </xf>
    <xf numFmtId="0" fontId="17" fillId="2" borderId="0" xfId="0" applyFont="1" applyFill="1" applyAlignment="1" applyProtection="1">
      <protection hidden="1"/>
    </xf>
    <xf numFmtId="164" fontId="17" fillId="2" borderId="9" xfId="0" applyNumberFormat="1" applyFont="1" applyFill="1" applyBorder="1" applyAlignment="1" applyProtection="1">
      <alignment horizontal="center"/>
      <protection hidden="1"/>
    </xf>
    <xf numFmtId="0" fontId="17" fillId="2" borderId="0" xfId="0" applyFont="1" applyFill="1" applyBorder="1" applyProtection="1">
      <protection hidden="1"/>
    </xf>
    <xf numFmtId="164" fontId="17" fillId="2" borderId="11" xfId="0" applyNumberFormat="1" applyFont="1" applyFill="1" applyBorder="1" applyAlignment="1" applyProtection="1">
      <alignment horizontal="center"/>
      <protection hidden="1"/>
    </xf>
    <xf numFmtId="0" fontId="17" fillId="2" borderId="11" xfId="0" applyFont="1" applyFill="1" applyBorder="1" applyAlignment="1" applyProtection="1">
      <alignment horizontal="center"/>
      <protection hidden="1"/>
    </xf>
    <xf numFmtId="9" fontId="17" fillId="2" borderId="0" xfId="1" applyFont="1" applyFill="1" applyBorder="1" applyAlignment="1" applyProtection="1">
      <alignment horizontal="center"/>
      <protection hidden="1"/>
    </xf>
    <xf numFmtId="9" fontId="17" fillId="2" borderId="0" xfId="0" applyNumberFormat="1" applyFont="1" applyFill="1" applyBorder="1" applyAlignment="1" applyProtection="1">
      <alignment horizontal="center"/>
      <protection hidden="1"/>
    </xf>
    <xf numFmtId="9" fontId="17" fillId="2" borderId="11" xfId="0" applyNumberFormat="1" applyFont="1" applyFill="1" applyBorder="1" applyAlignment="1" applyProtection="1">
      <alignment horizontal="center"/>
      <protection hidden="1"/>
    </xf>
    <xf numFmtId="9" fontId="17" fillId="2" borderId="0" xfId="0" applyNumberFormat="1" applyFont="1" applyFill="1" applyAlignment="1" applyProtection="1">
      <alignment horizontal="center"/>
      <protection hidden="1"/>
    </xf>
    <xf numFmtId="0" fontId="17" fillId="2" borderId="10" xfId="0" applyFont="1" applyFill="1" applyBorder="1" applyProtection="1">
      <protection hidden="1"/>
    </xf>
    <xf numFmtId="9" fontId="17" fillId="2" borderId="0" xfId="0" applyNumberFormat="1" applyFont="1" applyFill="1" applyBorder="1" applyProtection="1">
      <protection hidden="1"/>
    </xf>
    <xf numFmtId="9" fontId="17" fillId="2" borderId="0" xfId="1" applyFont="1" applyFill="1" applyBorder="1" applyAlignment="1" applyProtection="1">
      <alignment horizontal="right"/>
      <protection hidden="1"/>
    </xf>
    <xf numFmtId="166" fontId="17" fillId="2" borderId="0" xfId="1" applyNumberFormat="1" applyFont="1" applyFill="1" applyBorder="1" applyProtection="1">
      <protection hidden="1"/>
    </xf>
    <xf numFmtId="9" fontId="17" fillId="2" borderId="11" xfId="0" applyNumberFormat="1" applyFont="1" applyFill="1" applyBorder="1" applyProtection="1">
      <protection hidden="1"/>
    </xf>
    <xf numFmtId="9" fontId="17" fillId="2" borderId="10" xfId="0" applyNumberFormat="1" applyFont="1" applyFill="1" applyBorder="1" applyProtection="1">
      <protection hidden="1"/>
    </xf>
    <xf numFmtId="9" fontId="17" fillId="2" borderId="0" xfId="0" applyNumberFormat="1" applyFont="1" applyFill="1" applyProtection="1">
      <protection hidden="1"/>
    </xf>
    <xf numFmtId="9" fontId="17" fillId="2" borderId="0" xfId="1" applyFont="1" applyFill="1" applyBorder="1" applyProtection="1">
      <protection hidden="1"/>
    </xf>
    <xf numFmtId="2" fontId="17" fillId="2" borderId="10" xfId="0" applyNumberFormat="1" applyFont="1" applyFill="1" applyBorder="1" applyProtection="1">
      <protection hidden="1"/>
    </xf>
    <xf numFmtId="164" fontId="17" fillId="2" borderId="0" xfId="0" applyNumberFormat="1" applyFont="1" applyFill="1" applyBorder="1" applyProtection="1">
      <protection hidden="1"/>
    </xf>
    <xf numFmtId="9" fontId="17" fillId="2" borderId="11" xfId="1" applyFont="1" applyFill="1" applyBorder="1" applyProtection="1">
      <protection hidden="1"/>
    </xf>
    <xf numFmtId="9" fontId="17" fillId="2" borderId="0" xfId="1" applyFont="1" applyFill="1" applyProtection="1">
      <protection hidden="1"/>
    </xf>
    <xf numFmtId="0" fontId="17" fillId="2" borderId="11" xfId="0" applyFont="1" applyFill="1" applyBorder="1" applyProtection="1">
      <protection hidden="1"/>
    </xf>
    <xf numFmtId="164" fontId="17" fillId="2" borderId="11" xfId="0" applyNumberFormat="1" applyFont="1" applyFill="1" applyBorder="1" applyProtection="1">
      <protection hidden="1"/>
    </xf>
    <xf numFmtId="164" fontId="17" fillId="2" borderId="0" xfId="0" applyNumberFormat="1" applyFont="1" applyFill="1" applyProtection="1">
      <protection hidden="1"/>
    </xf>
    <xf numFmtId="9" fontId="17" fillId="2" borderId="12" xfId="0" applyNumberFormat="1" applyFont="1" applyFill="1" applyBorder="1" applyProtection="1">
      <protection hidden="1"/>
    </xf>
    <xf numFmtId="9" fontId="17" fillId="2" borderId="14" xfId="0" applyNumberFormat="1" applyFont="1" applyFill="1" applyBorder="1" applyProtection="1">
      <protection hidden="1"/>
    </xf>
    <xf numFmtId="1" fontId="17" fillId="2" borderId="11" xfId="0" applyNumberFormat="1" applyFont="1" applyFill="1" applyBorder="1" applyAlignment="1" applyProtection="1">
      <alignment horizontal="center"/>
      <protection hidden="1"/>
    </xf>
    <xf numFmtId="9" fontId="17" fillId="2" borderId="7" xfId="0" applyNumberFormat="1" applyFont="1" applyFill="1" applyBorder="1" applyAlignment="1" applyProtection="1">
      <alignment horizontal="center"/>
      <protection hidden="1"/>
    </xf>
    <xf numFmtId="12" fontId="17" fillId="2" borderId="11" xfId="0" applyNumberFormat="1" applyFont="1" applyFill="1" applyBorder="1" applyAlignment="1" applyProtection="1">
      <alignment horizontal="center"/>
      <protection hidden="1"/>
    </xf>
    <xf numFmtId="2" fontId="17" fillId="2" borderId="11" xfId="0" applyNumberFormat="1" applyFont="1" applyFill="1" applyBorder="1" applyProtection="1">
      <protection hidden="1"/>
    </xf>
    <xf numFmtId="12" fontId="17" fillId="2" borderId="14" xfId="0" applyNumberFormat="1" applyFont="1" applyFill="1" applyBorder="1" applyAlignment="1" applyProtection="1">
      <alignment horizontal="center"/>
      <protection hidden="1"/>
    </xf>
    <xf numFmtId="2" fontId="17" fillId="2" borderId="14" xfId="0" applyNumberFormat="1" applyFont="1" applyFill="1" applyBorder="1" applyProtection="1">
      <protection hidden="1"/>
    </xf>
    <xf numFmtId="9" fontId="17" fillId="2" borderId="0" xfId="1" applyNumberFormat="1" applyFont="1" applyFill="1" applyBorder="1" applyAlignment="1" applyProtection="1">
      <alignment horizontal="center"/>
      <protection hidden="1"/>
    </xf>
    <xf numFmtId="9" fontId="17" fillId="2" borderId="11" xfId="1" applyNumberFormat="1" applyFont="1" applyFill="1" applyBorder="1" applyAlignment="1" applyProtection="1">
      <alignment horizontal="center"/>
      <protection hidden="1"/>
    </xf>
    <xf numFmtId="2" fontId="17" fillId="2" borderId="0" xfId="0" applyNumberFormat="1" applyFont="1" applyFill="1" applyProtection="1">
      <protection hidden="1"/>
    </xf>
    <xf numFmtId="0" fontId="17" fillId="2" borderId="0" xfId="0" applyFont="1" applyFill="1" applyBorder="1" applyAlignment="1" applyProtection="1">
      <protection hidden="1"/>
    </xf>
    <xf numFmtId="0" fontId="17" fillId="2" borderId="13" xfId="0" applyFont="1" applyFill="1" applyBorder="1" applyProtection="1">
      <protection hidden="1"/>
    </xf>
    <xf numFmtId="0" fontId="17" fillId="2" borderId="14" xfId="0" applyFont="1" applyFill="1" applyBorder="1" applyProtection="1">
      <protection hidden="1"/>
    </xf>
    <xf numFmtId="166" fontId="17" fillId="2" borderId="0" xfId="1" applyNumberFormat="1" applyFont="1" applyFill="1" applyBorder="1" applyAlignment="1" applyProtection="1">
      <alignment horizontal="center"/>
      <protection hidden="1"/>
    </xf>
    <xf numFmtId="1" fontId="17" fillId="2" borderId="0" xfId="0" applyNumberFormat="1" applyFont="1" applyFill="1" applyBorder="1" applyAlignment="1" applyProtection="1">
      <alignment horizontal="center"/>
      <protection hidden="1"/>
    </xf>
    <xf numFmtId="9" fontId="17" fillId="2" borderId="11" xfId="1" applyFont="1" applyFill="1" applyBorder="1" applyAlignment="1" applyProtection="1">
      <alignment horizontal="center"/>
      <protection hidden="1"/>
    </xf>
    <xf numFmtId="165" fontId="17" fillId="2" borderId="0" xfId="0" applyNumberFormat="1" applyFont="1" applyFill="1" applyBorder="1" applyAlignment="1" applyProtection="1">
      <alignment horizontal="center"/>
      <protection hidden="1"/>
    </xf>
    <xf numFmtId="9" fontId="17" fillId="2" borderId="13" xfId="1" applyNumberFormat="1" applyFont="1" applyFill="1" applyBorder="1" applyAlignment="1" applyProtection="1">
      <alignment horizontal="center"/>
      <protection hidden="1"/>
    </xf>
    <xf numFmtId="9" fontId="17" fillId="2" borderId="14" xfId="1" applyNumberFormat="1" applyFont="1" applyFill="1" applyBorder="1" applyAlignment="1" applyProtection="1">
      <alignment horizontal="center"/>
      <protection hidden="1"/>
    </xf>
    <xf numFmtId="0" fontId="17" fillId="2" borderId="12" xfId="0" applyFont="1" applyFill="1" applyBorder="1" applyProtection="1">
      <protection hidden="1"/>
    </xf>
    <xf numFmtId="12" fontId="17" fillId="2" borderId="0" xfId="0" applyNumberFormat="1" applyFont="1" applyFill="1" applyBorder="1" applyAlignment="1" applyProtection="1">
      <alignment horizontal="center"/>
      <protection hidden="1"/>
    </xf>
    <xf numFmtId="9" fontId="17" fillId="2" borderId="13" xfId="1" applyFont="1" applyFill="1" applyBorder="1" applyAlignment="1" applyProtection="1">
      <alignment horizontal="center"/>
      <protection hidden="1"/>
    </xf>
    <xf numFmtId="9" fontId="17" fillId="2" borderId="14" xfId="1" applyFont="1" applyFill="1" applyBorder="1" applyAlignment="1" applyProtection="1">
      <alignment horizontal="center"/>
      <protection hidden="1"/>
    </xf>
    <xf numFmtId="0" fontId="17" fillId="2" borderId="8" xfId="0" applyFont="1" applyFill="1" applyBorder="1" applyProtection="1">
      <protection hidden="1"/>
    </xf>
    <xf numFmtId="0" fontId="17" fillId="2" borderId="9" xfId="0" applyFont="1" applyFill="1" applyBorder="1" applyProtection="1">
      <protection hidden="1"/>
    </xf>
    <xf numFmtId="2" fontId="17" fillId="2" borderId="0" xfId="0" applyNumberFormat="1" applyFont="1" applyFill="1" applyBorder="1" applyProtection="1">
      <protection hidden="1"/>
    </xf>
    <xf numFmtId="166" fontId="17" fillId="2" borderId="11" xfId="1" applyNumberFormat="1" applyFont="1" applyFill="1" applyBorder="1" applyProtection="1">
      <protection hidden="1"/>
    </xf>
    <xf numFmtId="0" fontId="17" fillId="2" borderId="0" xfId="1" applyNumberFormat="1" applyFont="1" applyFill="1" applyBorder="1" applyAlignment="1" applyProtection="1">
      <alignment horizontal="center"/>
      <protection hidden="1"/>
    </xf>
    <xf numFmtId="9" fontId="17" fillId="2" borderId="0" xfId="1" applyFont="1" applyFill="1" applyAlignment="1" applyProtection="1">
      <alignment horizontal="center"/>
      <protection hidden="1"/>
    </xf>
    <xf numFmtId="10" fontId="17" fillId="2" borderId="0" xfId="0" applyNumberFormat="1" applyFont="1" applyFill="1" applyBorder="1" applyProtection="1">
      <protection hidden="1"/>
    </xf>
    <xf numFmtId="9" fontId="17" fillId="2" borderId="10" xfId="1" applyFont="1" applyFill="1" applyBorder="1" applyAlignment="1" applyProtection="1">
      <protection hidden="1"/>
    </xf>
    <xf numFmtId="0" fontId="17" fillId="2" borderId="0" xfId="1" applyNumberFormat="1" applyFont="1" applyFill="1" applyAlignment="1" applyProtection="1">
      <alignment horizontal="center"/>
      <protection hidden="1"/>
    </xf>
    <xf numFmtId="9" fontId="17" fillId="2" borderId="12" xfId="1" applyFont="1" applyFill="1" applyBorder="1" applyAlignment="1" applyProtection="1">
      <protection hidden="1"/>
    </xf>
    <xf numFmtId="0" fontId="17" fillId="2" borderId="0" xfId="0" applyNumberFormat="1" applyFont="1" applyFill="1" applyBorder="1" applyAlignment="1" applyProtection="1">
      <alignment horizontal="center"/>
      <protection hidden="1"/>
    </xf>
    <xf numFmtId="0" fontId="17" fillId="2" borderId="14" xfId="0" applyFont="1" applyFill="1" applyBorder="1" applyAlignment="1" applyProtection="1">
      <alignment horizontal="center"/>
      <protection hidden="1"/>
    </xf>
    <xf numFmtId="9" fontId="17" fillId="2" borderId="0" xfId="1" applyFont="1" applyFill="1" applyBorder="1" applyAlignment="1" applyProtection="1">
      <protection hidden="1"/>
    </xf>
    <xf numFmtId="9" fontId="17" fillId="2" borderId="13" xfId="1" applyFont="1" applyFill="1" applyBorder="1" applyAlignment="1" applyProtection="1">
      <protection hidden="1"/>
    </xf>
    <xf numFmtId="9" fontId="17" fillId="2" borderId="13" xfId="1" applyFont="1" applyFill="1" applyBorder="1" applyProtection="1">
      <protection hidden="1"/>
    </xf>
    <xf numFmtId="9" fontId="17" fillId="2" borderId="14" xfId="1" applyFont="1" applyFill="1" applyBorder="1" applyProtection="1">
      <protection hidden="1"/>
    </xf>
    <xf numFmtId="9" fontId="17" fillId="2" borderId="10" xfId="1" applyFont="1" applyFill="1" applyBorder="1" applyAlignment="1" applyProtection="1">
      <alignment horizontal="center"/>
      <protection hidden="1"/>
    </xf>
    <xf numFmtId="9" fontId="17" fillId="2" borderId="12" xfId="1" applyFont="1" applyFill="1" applyBorder="1" applyAlignment="1" applyProtection="1">
      <alignment horizontal="center"/>
      <protection hidden="1"/>
    </xf>
    <xf numFmtId="0" fontId="20" fillId="2" borderId="0" xfId="0" applyFont="1" applyFill="1" applyProtection="1">
      <protection hidden="1"/>
    </xf>
    <xf numFmtId="0" fontId="20" fillId="2" borderId="0" xfId="0" applyFont="1" applyFill="1" applyAlignment="1" applyProtection="1">
      <alignment horizontal="center"/>
      <protection hidden="1"/>
    </xf>
    <xf numFmtId="0" fontId="20" fillId="2" borderId="0" xfId="0" applyNumberFormat="1" applyFont="1" applyFill="1" applyProtection="1">
      <protection hidden="1"/>
    </xf>
    <xf numFmtId="0" fontId="17" fillId="2" borderId="29" xfId="0" applyFont="1" applyFill="1" applyBorder="1" applyProtection="1">
      <protection hidden="1"/>
    </xf>
    <xf numFmtId="0" fontId="17" fillId="2" borderId="10" xfId="0" applyFont="1" applyFill="1" applyBorder="1" applyAlignment="1" applyProtection="1">
      <alignment horizontal="center"/>
      <protection hidden="1"/>
    </xf>
    <xf numFmtId="0" fontId="17" fillId="2" borderId="0" xfId="0" applyFont="1" applyFill="1" applyBorder="1" applyAlignment="1" applyProtection="1">
      <alignment horizontal="center"/>
      <protection hidden="1"/>
    </xf>
    <xf numFmtId="0" fontId="17" fillId="2" borderId="12" xfId="0" applyFont="1" applyFill="1" applyBorder="1" applyAlignment="1" applyProtection="1">
      <alignment horizontal="center"/>
      <protection hidden="1"/>
    </xf>
    <xf numFmtId="0" fontId="17" fillId="2" borderId="13" xfId="0" applyFont="1" applyFill="1" applyBorder="1" applyAlignment="1" applyProtection="1">
      <alignment horizontal="center"/>
      <protection hidden="1"/>
    </xf>
    <xf numFmtId="0" fontId="17" fillId="2" borderId="0" xfId="0" applyFont="1" applyFill="1" applyAlignment="1" applyProtection="1">
      <alignment horizontal="center"/>
      <protection hidden="1"/>
    </xf>
    <xf numFmtId="164" fontId="17" fillId="2" borderId="0" xfId="0" applyNumberFormat="1" applyFont="1" applyFill="1" applyBorder="1" applyAlignment="1" applyProtection="1">
      <alignment horizontal="center"/>
      <protection hidden="1"/>
    </xf>
    <xf numFmtId="0" fontId="17" fillId="2" borderId="7" xfId="0" applyFont="1" applyFill="1" applyBorder="1" applyAlignment="1" applyProtection="1">
      <alignment horizontal="center"/>
      <protection hidden="1"/>
    </xf>
    <xf numFmtId="0" fontId="17" fillId="2" borderId="8" xfId="0" applyFont="1" applyFill="1" applyBorder="1" applyAlignment="1" applyProtection="1">
      <alignment horizontal="center"/>
      <protection hidden="1"/>
    </xf>
    <xf numFmtId="0" fontId="17" fillId="2" borderId="9" xfId="0" applyFont="1" applyFill="1" applyBorder="1" applyAlignment="1" applyProtection="1">
      <alignment horizontal="center"/>
      <protection hidden="1"/>
    </xf>
    <xf numFmtId="164" fontId="17" fillId="2" borderId="0" xfId="0" applyNumberFormat="1" applyFont="1" applyFill="1" applyAlignment="1" applyProtection="1">
      <alignment horizontal="center"/>
      <protection hidden="1"/>
    </xf>
    <xf numFmtId="0" fontId="17" fillId="2" borderId="0" xfId="0" applyFont="1" applyFill="1" applyAlignment="1" applyProtection="1">
      <alignment horizontal="center"/>
      <protection hidden="1"/>
    </xf>
    <xf numFmtId="164" fontId="17" fillId="2" borderId="0" xfId="0" applyNumberFormat="1" applyFont="1" applyFill="1" applyAlignment="1" applyProtection="1">
      <alignment horizontal="center"/>
      <protection hidden="1"/>
    </xf>
    <xf numFmtId="0" fontId="18" fillId="2" borderId="7" xfId="0" applyFont="1" applyFill="1" applyBorder="1" applyAlignment="1" applyProtection="1">
      <alignment horizontal="center" vertical="center"/>
      <protection hidden="1"/>
    </xf>
    <xf numFmtId="0" fontId="18" fillId="2" borderId="8" xfId="0" applyFont="1" applyFill="1" applyBorder="1" applyAlignment="1" applyProtection="1">
      <alignment horizontal="center" vertical="center"/>
      <protection hidden="1"/>
    </xf>
    <xf numFmtId="0" fontId="18" fillId="2" borderId="9" xfId="0" applyFont="1" applyFill="1" applyBorder="1" applyAlignment="1" applyProtection="1">
      <alignment horizontal="center" vertical="center"/>
      <protection hidden="1"/>
    </xf>
    <xf numFmtId="0" fontId="18" fillId="2" borderId="10" xfId="0" applyFont="1" applyFill="1" applyBorder="1" applyAlignment="1" applyProtection="1">
      <alignment horizontal="center" vertical="center"/>
      <protection hidden="1"/>
    </xf>
    <xf numFmtId="0" fontId="18" fillId="2" borderId="0" xfId="0" applyFont="1" applyFill="1" applyBorder="1" applyAlignment="1" applyProtection="1">
      <alignment horizontal="center" vertical="center"/>
      <protection hidden="1"/>
    </xf>
    <xf numFmtId="0" fontId="18" fillId="2" borderId="11" xfId="0" applyFont="1" applyFill="1" applyBorder="1" applyAlignment="1" applyProtection="1">
      <alignment horizontal="center" vertical="center"/>
      <protection hidden="1"/>
    </xf>
    <xf numFmtId="0" fontId="17" fillId="2" borderId="10" xfId="0" applyFont="1" applyFill="1" applyBorder="1" applyAlignment="1" applyProtection="1">
      <alignment horizontal="center"/>
      <protection hidden="1"/>
    </xf>
    <xf numFmtId="0" fontId="17" fillId="2" borderId="0" xfId="0" applyFont="1" applyFill="1" applyBorder="1" applyAlignment="1" applyProtection="1">
      <alignment horizontal="center"/>
      <protection hidden="1"/>
    </xf>
    <xf numFmtId="0" fontId="17" fillId="2" borderId="13" xfId="0" applyFont="1" applyFill="1" applyBorder="1" applyAlignment="1" applyProtection="1">
      <alignment horizontal="center"/>
      <protection hidden="1"/>
    </xf>
    <xf numFmtId="0" fontId="17" fillId="2" borderId="25" xfId="0" applyFont="1" applyFill="1" applyBorder="1" applyAlignment="1" applyProtection="1">
      <alignment horizontal="center"/>
      <protection hidden="1"/>
    </xf>
    <xf numFmtId="0" fontId="17" fillId="2" borderId="7" xfId="0" applyFont="1" applyFill="1" applyBorder="1" applyAlignment="1" applyProtection="1">
      <alignment horizontal="center"/>
      <protection hidden="1"/>
    </xf>
    <xf numFmtId="0" fontId="17" fillId="2" borderId="8" xfId="0" applyFont="1" applyFill="1" applyBorder="1" applyAlignment="1" applyProtection="1">
      <alignment horizontal="center"/>
      <protection hidden="1"/>
    </xf>
    <xf numFmtId="0" fontId="17" fillId="2" borderId="9" xfId="0" applyFont="1" applyFill="1" applyBorder="1" applyAlignment="1" applyProtection="1">
      <alignment horizontal="center"/>
      <protection hidden="1"/>
    </xf>
    <xf numFmtId="0" fontId="15" fillId="2" borderId="23" xfId="2"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5" fillId="2" borderId="15" xfId="2"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5" fillId="2" borderId="1" xfId="2"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2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0" fillId="2" borderId="6" xfId="0"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164" fontId="17" fillId="2" borderId="0" xfId="0" applyNumberFormat="1" applyFont="1" applyFill="1" applyBorder="1" applyAlignment="1" applyProtection="1">
      <alignment horizontal="center"/>
      <protection hidden="1"/>
    </xf>
    <xf numFmtId="0" fontId="17" fillId="2" borderId="12" xfId="0" applyFont="1" applyFill="1" applyBorder="1" applyAlignment="1" applyProtection="1">
      <alignment horizontal="center"/>
      <protection hidden="1"/>
    </xf>
    <xf numFmtId="0" fontId="3" fillId="2" borderId="10"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2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21"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4" fillId="2" borderId="19"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hidden="1"/>
    </xf>
    <xf numFmtId="0" fontId="16" fillId="2" borderId="18"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wrapText="1"/>
      <protection hidden="1"/>
    </xf>
    <xf numFmtId="0" fontId="16" fillId="2" borderId="19"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6" fillId="2" borderId="11" xfId="0" applyFont="1" applyFill="1" applyBorder="1" applyAlignment="1" applyProtection="1">
      <alignment horizontal="center" vertical="center" wrapText="1"/>
      <protection hidden="1"/>
    </xf>
    <xf numFmtId="0" fontId="16" fillId="2" borderId="12"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6" fillId="2" borderId="14"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164" fontId="15" fillId="2" borderId="1" xfId="2" applyNumberFormat="1" applyFont="1" applyFill="1" applyBorder="1" applyAlignment="1" applyProtection="1">
      <alignment horizontal="center" vertical="center"/>
      <protection hidden="1"/>
    </xf>
    <xf numFmtId="164" fontId="1" fillId="2" borderId="16" xfId="0" applyNumberFormat="1" applyFont="1" applyFill="1" applyBorder="1" applyAlignment="1" applyProtection="1">
      <alignment horizontal="center" vertical="center"/>
      <protection hidden="1"/>
    </xf>
    <xf numFmtId="0" fontId="15" fillId="2" borderId="22" xfId="2"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0" fillId="2" borderId="0" xfId="0"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protection hidden="1"/>
    </xf>
    <xf numFmtId="0" fontId="13" fillId="2" borderId="8"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cellXfs>
  <cellStyles count="3">
    <cellStyle name="Hyperlink" xfId="2" builtinId="8"/>
    <cellStyle name="Normal" xfId="0" builtinId="0"/>
    <cellStyle name="Percent" xfId="1" builtinId="5"/>
  </cellStyles>
  <dxfs count="190">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52641</xdr:colOff>
      <xdr:row>22</xdr:row>
      <xdr:rowOff>152401</xdr:rowOff>
    </xdr:from>
    <xdr:ext cx="1642809" cy="1076324"/>
    <xdr:pic>
      <xdr:nvPicPr>
        <xdr:cNvPr id="4" name="Picture 1">
          <a:extLst>
            <a:ext uri="{FF2B5EF4-FFF2-40B4-BE49-F238E27FC236}">
              <a16:creationId xmlns:a16="http://schemas.microsoft.com/office/drawing/2014/main" id="{FCE06E1A-148C-4396-91A5-8E828FF6D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0641" y="4076701"/>
          <a:ext cx="1642809"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180974</xdr:colOff>
      <xdr:row>22</xdr:row>
      <xdr:rowOff>7709</xdr:rowOff>
    </xdr:from>
    <xdr:ext cx="1381126" cy="1249591"/>
    <xdr:pic>
      <xdr:nvPicPr>
        <xdr:cNvPr id="5" name="Picture 2">
          <a:extLst>
            <a:ext uri="{FF2B5EF4-FFF2-40B4-BE49-F238E27FC236}">
              <a16:creationId xmlns:a16="http://schemas.microsoft.com/office/drawing/2014/main" id="{35D7006E-2899-4FEF-A302-B80F951BA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1049" y="3932009"/>
          <a:ext cx="1381126" cy="1249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95251</xdr:colOff>
      <xdr:row>11</xdr:row>
      <xdr:rowOff>132521</xdr:rowOff>
    </xdr:from>
    <xdr:ext cx="3638550" cy="2383878"/>
    <xdr:pic>
      <xdr:nvPicPr>
        <xdr:cNvPr id="2" name="Picture 1">
          <a:extLst>
            <a:ext uri="{FF2B5EF4-FFF2-40B4-BE49-F238E27FC236}">
              <a16:creationId xmlns:a16="http://schemas.microsoft.com/office/drawing/2014/main" id="{C026585D-4F9E-4F08-A22C-2D8C290CE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2466146"/>
          <a:ext cx="3638550" cy="238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571500</xdr:colOff>
      <xdr:row>10</xdr:row>
      <xdr:rowOff>80283</xdr:rowOff>
    </xdr:from>
    <xdr:ext cx="2962275" cy="2680154"/>
    <xdr:pic>
      <xdr:nvPicPr>
        <xdr:cNvPr id="3" name="Picture 2">
          <a:extLst>
            <a:ext uri="{FF2B5EF4-FFF2-40B4-BE49-F238E27FC236}">
              <a16:creationId xmlns:a16="http://schemas.microsoft.com/office/drawing/2014/main" id="{47FC08AC-B6AE-4956-802E-675B5EB980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15900" y="2223408"/>
          <a:ext cx="2962275" cy="2680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CB6560A-A985-4210-9C06-EE4275C4EDFD}" name="Table62" displayName="Table62" ref="CI41:CI72" totalsRowShown="0" headerRowDxfId="181" dataDxfId="180">
  <autoFilter ref="CI41:CI72" xr:uid="{78D1167A-C17D-440F-A73D-A73E941B2182}"/>
  <tableColumns count="1">
    <tableColumn id="1" xr3:uid="{B238CF44-7543-4662-AE7E-DABC86AB79E6}" name="0.06" dataDxfId="18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D7F6902-7490-4C1A-BE1B-74E1D534D7DD}" name="Table72" displayName="Table72" ref="CR41:CR67" totalsRowShown="0" headerRowDxfId="154" dataDxfId="153">
  <autoFilter ref="CR41:CR67" xr:uid="{D90C6DD6-4AC1-4930-90E1-E7D61D5553F3}"/>
  <tableColumns count="1">
    <tableColumn id="1" xr3:uid="{776735F6-2C83-4C8B-A625-E499AB24F268}" name="0.051" dataDxfId="15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891CDA7-AB39-41C3-8CF8-ACEDB9145C6D}" name="Table73" displayName="Table73" ref="CS41:CS67" totalsRowShown="0" headerRowDxfId="151" dataDxfId="150">
  <autoFilter ref="CS41:CS67" xr:uid="{B2DBABEA-5281-4F94-9FE5-49638C98E4D6}"/>
  <tableColumns count="1">
    <tableColumn id="1" xr3:uid="{35DC1A15-FA4F-4DC6-BE76-48E53D07F57E}" name="0.05" dataDxfId="15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6D5E536-D40D-403A-96AA-B8C36CEA938D}" name="Table74" displayName="Table74" ref="CT41:CT66" totalsRowShown="0" headerRowDxfId="148" dataDxfId="147">
  <autoFilter ref="CT41:CT66" xr:uid="{39841549-6D53-41BB-B145-ED528788362A}"/>
  <tableColumns count="1">
    <tableColumn id="1" xr3:uid="{E9F82AB3-1855-4D28-9E4C-59313767D416}" name="0.049" dataDxfId="149"/>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F2C82437-8884-4912-8C3F-9C48E1A9DDEE}" name="Table75" displayName="Table75" ref="CU41:CU66" totalsRowShown="0" headerRowDxfId="145" dataDxfId="144">
  <autoFilter ref="CU41:CU66" xr:uid="{70433FD6-B7DC-4EA9-AC06-3F4547366EFA}"/>
  <tableColumns count="1">
    <tableColumn id="1" xr3:uid="{A9B12293-0746-4EF2-9E3A-80CC643E5D47}" name="0.048" dataDxfId="14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338EC0C2-79DB-430F-982E-FFCCE095B339}" name="Table76" displayName="Table76" ref="CV41:CV65" totalsRowShown="0" headerRowDxfId="142" dataDxfId="141">
  <autoFilter ref="CV41:CV65" xr:uid="{15C4FF7D-3715-4934-A777-A56C03B48C78}"/>
  <tableColumns count="1">
    <tableColumn id="1" xr3:uid="{11604AF8-D716-4A16-A285-2F16B2B764A9}" name="0.047" dataDxfId="143"/>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7432A767-20B8-472B-B279-ADFD995FDDB8}" name="Table77" displayName="Table77" ref="CW41:CW65" totalsRowShown="0" headerRowDxfId="139" dataDxfId="138">
  <autoFilter ref="CW41:CW65" xr:uid="{B099B8F1-D15C-4931-85BE-613389DCB9BC}"/>
  <tableColumns count="1">
    <tableColumn id="1" xr3:uid="{CEAEAE69-C2BA-44DC-B684-00C25F3B7630}" name="0.046" dataDxfId="140"/>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2A3FD6F-998B-4A56-A79D-B0C441E05742}" name="Table78" displayName="Table78" ref="CX41:CX64" totalsRowShown="0" headerRowDxfId="136" dataDxfId="135">
  <autoFilter ref="CX41:CX64" xr:uid="{600788D9-D3F8-4604-A860-2F66AAC8EC55}"/>
  <tableColumns count="1">
    <tableColumn id="1" xr3:uid="{2E616891-8506-4105-8CC7-5856259D1FBC}" name="0.045" dataDxfId="137"/>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645FE56-617B-4788-B32A-FB167E58C6BC}" name="Table79" displayName="Table79" ref="CY41:CY64" totalsRowShown="0" headerRowDxfId="133" dataDxfId="132">
  <autoFilter ref="CY41:CY64" xr:uid="{AB9C463E-71CB-48FE-AFB3-4F667698E1F9}"/>
  <tableColumns count="1">
    <tableColumn id="1" xr3:uid="{C5FF38A3-B9F1-4910-BE1D-46F224FD89A2}" name="0.044" dataDxfId="13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D60166A-A735-43C0-9353-88DE00374988}" name="Table80" displayName="Table80" ref="CZ41:CZ63" totalsRowShown="0" headerRowDxfId="130" dataDxfId="129">
  <autoFilter ref="CZ41:CZ63" xr:uid="{7E148531-D184-4704-BADE-7431D72D2F3F}"/>
  <tableColumns count="1">
    <tableColumn id="1" xr3:uid="{4F4ADB4F-68F7-4285-B111-3C3B9FD08AE8}" name="0.043" dataDxfId="131"/>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DA6AFBD-234E-4EF1-86AD-48C21E092D3A}" name="Table81" displayName="Table81" ref="DA41:DA63" totalsRowShown="0" headerRowDxfId="127" dataDxfId="126">
  <autoFilter ref="DA41:DA63" xr:uid="{B56B6E8F-B356-4F0F-B1DB-637D0CE127CB}"/>
  <tableColumns count="1">
    <tableColumn id="1" xr3:uid="{10E674C7-23DE-468E-8153-80785EAA6190}" name="0.042" dataDxfId="12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24D19E98-8073-4152-82A1-2EE382D7C659}" name="Table63" displayName="Table63" ref="CJ41:CJ71" totalsRowShown="0" headerRowDxfId="178" dataDxfId="177">
  <autoFilter ref="CJ41:CJ71" xr:uid="{CEDE560C-256A-44EC-B91C-12604BD55DCE}"/>
  <tableColumns count="1">
    <tableColumn id="1" xr3:uid="{C7769AEE-A7C8-42E2-9511-84F99C7BCCD8}" name="0.059" dataDxfId="179"/>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6EAD3D12-9F22-48B1-A620-E638E0315FA8}" name="Table82" displayName="Table82" ref="DB41:DB62" totalsRowShown="0" headerRowDxfId="124" dataDxfId="123">
  <autoFilter ref="DB41:DB62" xr:uid="{E0E8A0B1-0ABE-4CC8-BE68-6F27D11AC58B}"/>
  <tableColumns count="1">
    <tableColumn id="1" xr3:uid="{D94FC350-F036-4DE2-B113-7697419DF23B}" name="0.041" dataDxfId="12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FEC6D22-A400-4FB2-9F40-6D1A4279EE3E}" name="Table83" displayName="Table83" ref="DC41:DC62" totalsRowShown="0" headerRowDxfId="121" dataDxfId="120">
  <autoFilter ref="DC41:DC62" xr:uid="{B203D1F3-67E1-4487-8238-8B11EA553821}"/>
  <tableColumns count="1">
    <tableColumn id="1" xr3:uid="{07EC94D5-990B-40CF-B3CD-17F649ECA2D6}" name="0.04" dataDxfId="12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815A1FD-D680-4D6E-B0FB-99DCC8678814}" name="Table84" displayName="Table84" ref="DD41:DD61" totalsRowShown="0" headerRowDxfId="118" dataDxfId="117">
  <autoFilter ref="DD41:DD61" xr:uid="{1F84AC51-1ABB-40C9-9A7C-156B6764DAC3}"/>
  <tableColumns count="1">
    <tableColumn id="1" xr3:uid="{A28EE31B-0C77-44D2-B109-C26CE222652E}" name="0.039" dataDxfId="119"/>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5E20928-B428-4674-85A2-AD54941BE447}" name="Table85" displayName="Table85" ref="DE41:DE61" totalsRowShown="0" headerRowDxfId="115" dataDxfId="114">
  <autoFilter ref="DE41:DE61" xr:uid="{0C5774A4-F506-4ABD-AB73-6B1BDC6BC639}"/>
  <tableColumns count="1">
    <tableColumn id="1" xr3:uid="{6477EDFD-B7F4-41B1-9C5B-D9294C04FDD2}" name="0.038" dataDxfId="116"/>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116E3AA-A164-4C91-8E34-076594486B40}" name="Table86" displayName="Table86" ref="DF41:DF60" totalsRowShown="0" headerRowDxfId="112" dataDxfId="111">
  <autoFilter ref="DF41:DF60" xr:uid="{64423953-B327-4962-A23D-E6DE9520CCCD}"/>
  <tableColumns count="1">
    <tableColumn id="1" xr3:uid="{043C5FA0-A6EB-4A05-9150-3A927CBEE513}" name="0.037" dataDxfId="113"/>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8A902EC-4C34-433C-B429-AEB646E4D8F2}" name="Table87" displayName="Table87" ref="DG41:DG60" totalsRowShown="0" headerRowDxfId="109" dataDxfId="108">
  <autoFilter ref="DG41:DG60" xr:uid="{A351754C-3BCA-438A-9132-F02D72287CC7}"/>
  <tableColumns count="1">
    <tableColumn id="1" xr3:uid="{ABD8BBA1-9B36-45EF-AB6C-CCEDF0B9E0BF}" name="0.036" dataDxfId="11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F105E3F-5D92-4822-B473-60BDBF81FA8F}" name="Table88" displayName="Table88" ref="DH41:DH59" totalsRowShown="0" headerRowDxfId="106" dataDxfId="105">
  <autoFilter ref="DH41:DH59" xr:uid="{2EF3EEBB-6AAC-461D-AC93-A85127593062}"/>
  <tableColumns count="1">
    <tableColumn id="1" xr3:uid="{5B213088-1211-4350-BF9F-FF57D5C4DC71}" name="0.035" dataDxfId="107"/>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62E56B7-41A9-4A4F-8CB8-55BBF48F0193}" name="Table89" displayName="Table89" ref="DI41:DI59" totalsRowShown="0" headerRowDxfId="103" dataDxfId="102">
  <autoFilter ref="DI41:DI59" xr:uid="{52EC0D4A-93F8-4BF7-8971-F372F1C939B9}"/>
  <tableColumns count="1">
    <tableColumn id="1" xr3:uid="{3EBA2678-225F-4C9B-B49A-C55EE345C94A}" name="0.034" dataDxfId="104"/>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EECBE85-860B-48DA-BF5A-96AFC5A73E84}" name="Table90" displayName="Table90" ref="DJ41:DJ58" totalsRowShown="0" headerRowDxfId="100" dataDxfId="99">
  <autoFilter ref="DJ41:DJ58" xr:uid="{A1BCABCB-9E07-49B1-BB38-EAB6EAF4D6B7}"/>
  <tableColumns count="1">
    <tableColumn id="1" xr3:uid="{4866CA8A-97FE-4533-93C7-CC4C28B9AB2C}" name="0.033" dataDxfId="10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8E1DAAE-C0F1-4C0C-B9F4-E85CEE8236E8}" name="Table91" displayName="Table91" ref="DK41:DK58" totalsRowShown="0" headerRowDxfId="97" dataDxfId="96">
  <autoFilter ref="DK41:DK58" xr:uid="{AC98CA2F-05F8-4B8D-A6E1-96C1E9CE7BE4}"/>
  <tableColumns count="1">
    <tableColumn id="1" xr3:uid="{DC8ED0FD-E825-40F1-82BD-27846253BFE0}" name="0.032" dataDxfId="9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3B5C830-8E09-4B82-926F-1970BC0B4BF7}" name="Table64" displayName="Table64" ref="CK41:CK71" totalsRowShown="0" headerRowDxfId="175" dataDxfId="174">
  <autoFilter ref="CK41:CK71" xr:uid="{D642A882-949F-4A78-BC0C-FCBA99341A7F}"/>
  <tableColumns count="1">
    <tableColumn id="1" xr3:uid="{22C23965-8C47-4EF5-AD10-26FCD115319A}" name="0.058" dataDxfId="176"/>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3F0BCA9-6C87-4481-A338-1B9F8B00F5C3}" name="Table92" displayName="Table92" ref="DL41:DL57" totalsRowShown="0" headerRowDxfId="94" dataDxfId="93">
  <autoFilter ref="DL41:DL57" xr:uid="{58CC5D1F-74E0-4B4A-85F5-51AF696F5D47}"/>
  <tableColumns count="1">
    <tableColumn id="1" xr3:uid="{159232E4-430E-49A9-93F7-9513D6FA7386}" name="0.031" dataDxfId="95"/>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86F36CF-6C6D-4749-87E2-825446ACEF04}" name="Table93" displayName="Table93" ref="DM41:DM57" totalsRowShown="0" headerRowDxfId="91" dataDxfId="90">
  <autoFilter ref="DM41:DM57" xr:uid="{7143776F-CED0-4462-AF5D-7D068008A4CF}"/>
  <tableColumns count="1">
    <tableColumn id="1" xr3:uid="{6C7B4606-9380-4E3B-BA46-F49B2846AA5D}" name="0.03" dataDxfId="92"/>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6B60CBE6-BA0B-4764-9D45-DA067C86460A}" name="Table94" displayName="Table94" ref="DN41:DN56" totalsRowShown="0" headerRowDxfId="88" dataDxfId="87">
  <autoFilter ref="DN41:DN56" xr:uid="{D0A461C8-0D10-4520-99EF-E13F95003E89}"/>
  <tableColumns count="1">
    <tableColumn id="1" xr3:uid="{DAA78BC9-3317-49BD-A17F-BD9262696BC5}" name="0.029" dataDxfId="89"/>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E8E221F-6296-4190-8A2B-C0E98B8B99BB}" name="Table95" displayName="Table95" ref="DO41:DO56" totalsRowShown="0" headerRowDxfId="85" dataDxfId="84">
  <autoFilter ref="DO41:DO56" xr:uid="{EFB8EEFF-6BA0-48CE-862B-5E41A43EC2DD}"/>
  <tableColumns count="1">
    <tableColumn id="1" xr3:uid="{AAFD01AF-0095-4343-A607-DE1230A2BA4A}" name="0.028" dataDxfId="86"/>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CBD0CF3-2099-44EA-8C33-BF1266E337D3}" name="Table96" displayName="Table96" ref="DP41:DP55" totalsRowShown="0" headerRowDxfId="82" dataDxfId="81">
  <autoFilter ref="DP41:DP55" xr:uid="{A7E63334-149E-4A10-9AED-D556B4D38D6C}"/>
  <tableColumns count="1">
    <tableColumn id="1" xr3:uid="{F6F8898B-95F3-46F2-87C0-B9CDEF4407CD}" name="0.027" dataDxfId="83"/>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4F5A89B-6843-4F97-9749-786CB53AAD22}" name="Table97" displayName="Table97" ref="DQ41:DQ55" totalsRowShown="0" headerRowDxfId="79" dataDxfId="78">
  <autoFilter ref="DQ41:DQ55" xr:uid="{4EBF16F2-8818-42C4-AAA0-7233530DC6E4}"/>
  <tableColumns count="1">
    <tableColumn id="1" xr3:uid="{AF15EB4D-329A-4AE9-9C21-FB1D4D362E68}" name="0.026" dataDxfId="80"/>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DEFD159-041D-43C2-AB9E-F42409F792FB}" name="Table98" displayName="Table98" ref="DR41:DR54" totalsRowShown="0" headerRowDxfId="76" dataDxfId="75">
  <autoFilter ref="DR41:DR54" xr:uid="{824C33ED-2A27-40B5-A0AA-0599E8EA879F}"/>
  <tableColumns count="1">
    <tableColumn id="1" xr3:uid="{3E8759DB-2778-4957-87C4-8F59DF7CB1FE}" name="0.025" dataDxfId="77"/>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C7B8FB9-B06D-407C-8F9C-9E809EF9148F}" name="Table99" displayName="Table99" ref="DS41:DS54" totalsRowShown="0" headerRowDxfId="73" dataDxfId="72">
  <autoFilter ref="DS41:DS54" xr:uid="{58B0F72A-4CE6-44D5-977D-974BA5F08BA0}"/>
  <tableColumns count="1">
    <tableColumn id="1" xr3:uid="{D6B0AAF6-863D-4C61-97AB-427612A02067}" name="0.024" dataDxfId="74"/>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02A7B21-1AAA-4CF1-83F2-AEF783CEF232}" name="Table100" displayName="Table100" ref="DT41:DT53" totalsRowShown="0" headerRowDxfId="70" dataDxfId="69">
  <autoFilter ref="DT41:DT53" xr:uid="{BBABAD47-43AD-42A8-8678-1138245E77B9}"/>
  <tableColumns count="1">
    <tableColumn id="1" xr3:uid="{0A06F266-4BEB-453B-94B6-B19E3E8F20A1}" name="0.023" dataDxfId="71"/>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5255ADA-E80A-4F1D-8084-902B30FA4355}" name="Table101" displayName="Table101" ref="DU41:DU53" totalsRowShown="0" headerRowDxfId="67" dataDxfId="66">
  <autoFilter ref="DU41:DU53" xr:uid="{DCC3544F-4ABD-4C0C-8C6E-3769414581EE}"/>
  <tableColumns count="1">
    <tableColumn id="1" xr3:uid="{7EA29A3E-DAB0-42A7-9548-4CDA2043B6A8}" name="0.022" dataDxfId="6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26FB876-57BC-439B-94FC-705097EB3301}" name="Table65" displayName="Table65" ref="CL41:CL70" totalsRowShown="0" headerRowDxfId="172" dataDxfId="171">
  <autoFilter ref="CL41:CL70" xr:uid="{7F7D27E3-0B43-4BE9-973A-B63C3CBED902}"/>
  <tableColumns count="1">
    <tableColumn id="1" xr3:uid="{CD0778B6-98F6-4AD4-9525-8EBE6C461462}" name="0.057" dataDxfId="173"/>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EE891003-2837-4C89-9ACE-39CE72610FA1}" name="Table102" displayName="Table102" ref="DV41:DV52" totalsRowShown="0" headerRowDxfId="64" dataDxfId="63">
  <autoFilter ref="DV41:DV52" xr:uid="{354FC971-D228-4345-8738-9BEF6ACD18FD}"/>
  <tableColumns count="1">
    <tableColumn id="1" xr3:uid="{F14D7989-E80A-4D22-B932-7C988B9589CF}" name="0.021" dataDxfId="65"/>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5880984-C4BF-4338-996C-9527D1FFEF91}" name="Table103" displayName="Table103" ref="DW41:DW52" totalsRowShown="0" headerRowDxfId="61" dataDxfId="60">
  <autoFilter ref="DW41:DW52" xr:uid="{9A6F09ED-7E3B-4FF1-B66E-4247BE685B0F}"/>
  <tableColumns count="1">
    <tableColumn id="1" xr3:uid="{7A7281D7-415E-49F3-A0BF-C69B10073B0E}" name="0.02" dataDxfId="62"/>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17DB71D-91BD-49E3-B7C1-E91DF9BA39B1}" name="Table104" displayName="Table104" ref="DX41:DX51" totalsRowShown="0" headerRowDxfId="58" dataDxfId="57">
  <autoFilter ref="DX41:DX51" xr:uid="{6A1E4E85-6D61-4FF1-939F-D692794148B8}"/>
  <tableColumns count="1">
    <tableColumn id="1" xr3:uid="{BF5AB337-F9DF-4EE9-A970-1CBE1AFF655C}" name="0.019" dataDxfId="59"/>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6990EA24-D3D4-4252-AD1B-56C47F2BC912}" name="Table105" displayName="Table105" ref="DY41:DY51" totalsRowShown="0" headerRowDxfId="55" dataDxfId="54">
  <autoFilter ref="DY41:DY51" xr:uid="{CC616DAD-8A06-48A4-8D69-3607064BD4FB}"/>
  <tableColumns count="1">
    <tableColumn id="1" xr3:uid="{692D6527-860C-4150-9DC8-1E6F4E2B48F7}" name="0.018" dataDxfId="5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A9B989E-3D5E-4E77-B17B-FE31F17C97DC}" name="Table106" displayName="Table106" ref="DZ41:DZ50" totalsRowShown="0" headerRowDxfId="52" dataDxfId="51">
  <autoFilter ref="DZ41:DZ50" xr:uid="{E7BEFABE-29FB-44C6-B5E7-258A841C8BCB}"/>
  <tableColumns count="1">
    <tableColumn id="1" xr3:uid="{4439AAE5-C71E-4219-B097-4C2E9F8F930B}" name="0.017" dataDxfId="53"/>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BE81606D-7E2C-44DB-A63E-D5B1DF885C7F}" name="Table107" displayName="Table107" ref="EA41:EA50" totalsRowShown="0" headerRowDxfId="49" dataDxfId="48">
  <autoFilter ref="EA41:EA50" xr:uid="{82FA26FD-6B71-4F8E-AC78-05143366316C}"/>
  <tableColumns count="1">
    <tableColumn id="1" xr3:uid="{84F3F6A3-12A7-43F1-B55C-9BA6B3237D89}" name="0.016" dataDxfId="50"/>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5F421A4F-15BF-4DBD-ABB6-EAA96D1D18D2}" name="Table108" displayName="Table108" ref="EB41:EB49" totalsRowShown="0" headerRowDxfId="46" dataDxfId="45">
  <autoFilter ref="EB41:EB49" xr:uid="{74060949-9849-4FC5-8072-25E3C3CCA1B5}"/>
  <tableColumns count="1">
    <tableColumn id="1" xr3:uid="{588724E9-D117-40F6-A28E-D48A47C27F88}" name="0.015" dataDxfId="47"/>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9A97B79-B660-469A-9F47-EE81D98E4214}" name="Table109" displayName="Table109" ref="EC41:EC49" totalsRowShown="0" headerRowDxfId="43" dataDxfId="42">
  <autoFilter ref="EC41:EC49" xr:uid="{0D911A6E-AFFF-47FE-8E69-630555B46143}"/>
  <tableColumns count="1">
    <tableColumn id="1" xr3:uid="{D4884F74-CD2E-44AD-B024-5FBA9B932BBC}" name="0.014" dataDxfId="44"/>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7C618D64-0494-49FA-A6F8-4A249DB117F4}" name="Table110" displayName="Table110" ref="ED41:ED48" totalsRowShown="0" headerRowDxfId="40" dataDxfId="39">
  <autoFilter ref="ED41:ED48" xr:uid="{48DA3120-CB0D-4A0B-BAC8-F0019861014E}"/>
  <tableColumns count="1">
    <tableColumn id="1" xr3:uid="{09BD47B3-F9C2-441F-8F48-2640760157DF}" name="0.013" dataDxfId="41"/>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DFA4ACB-EECF-46E4-B615-135C08ABF537}" name="Table111" displayName="Table111" ref="EE41:EE48" totalsRowShown="0" headerRowDxfId="37" dataDxfId="36">
  <autoFilter ref="EE41:EE48" xr:uid="{56E8BC09-281F-4451-B160-87237E43DB68}"/>
  <tableColumns count="1">
    <tableColumn id="1" xr3:uid="{78321A0F-9D7A-4062-8D56-9D480BA4B4DE}" name="0.012" dataDxfId="3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F7E8FD2-EC33-4C2B-BE3D-D96F12E12841}" name="Table66" displayName="Table66" ref="CM41:CM70" totalsRowShown="0" headerRowDxfId="169" dataDxfId="168">
  <autoFilter ref="CM41:CM70" xr:uid="{30B951FD-D80A-4A80-883B-8F0405CC5A85}"/>
  <tableColumns count="1">
    <tableColumn id="1" xr3:uid="{49781C2B-655F-47AE-9842-9D24BD30C98E}" name="0.056" dataDxfId="170"/>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0A65463-AEF4-4D99-9B85-075E7A288EEE}" name="Table112" displayName="Table112" ref="EF41:EF47" totalsRowShown="0" headerRowDxfId="34" dataDxfId="33">
  <autoFilter ref="EF41:EF47" xr:uid="{C9BDD81F-2B17-4DA6-80AF-10BC66CB9A93}"/>
  <tableColumns count="1">
    <tableColumn id="1" xr3:uid="{91DCBD3B-328C-47B9-8DDE-183ECFF47874}" name="0.011" dataDxfId="35"/>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F5780AC7-3727-4AF3-988B-7661A195A7F1}" name="Table113" displayName="Table113" ref="EG41:EG47" totalsRowShown="0" headerRowDxfId="31" dataDxfId="30">
  <autoFilter ref="EG41:EG47" xr:uid="{5B0D0F26-9EDB-4293-A95F-E796D547AD47}"/>
  <tableColumns count="1">
    <tableColumn id="1" xr3:uid="{A6011A6D-9167-49D0-9A3C-05EAAB267181}" name="0.01" dataDxfId="32"/>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825912CA-F771-4320-B307-62E26E750A4B}" name="Table114" displayName="Table114" ref="EH41:EH46" totalsRowShown="0" headerRowDxfId="28" dataDxfId="27">
  <autoFilter ref="EH41:EH46" xr:uid="{6BC47C63-6639-4260-8619-11B01E12C7D5}"/>
  <tableColumns count="1">
    <tableColumn id="1" xr3:uid="{F155E9E5-5C0D-48EE-AE14-DA4942502750}" name="0.009" dataDxfId="29"/>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EE7763DB-6B03-499E-BD0B-0D06F238ED32}" name="Table115" displayName="Table115" ref="EI41:EI46" totalsRowShown="0" headerRowDxfId="25" dataDxfId="24">
  <autoFilter ref="EI41:EI46" xr:uid="{DDFF7F49-0083-4645-AA33-DE1EE8A3D19B}"/>
  <tableColumns count="1">
    <tableColumn id="1" xr3:uid="{C8B449A4-8583-4C28-8D04-0051A11C0431}" name="0.008" dataDxfId="26"/>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8628FD20-B77A-46B1-A76D-290A240BC3FB}" name="Table116" displayName="Table116" ref="EJ41:EJ45" totalsRowShown="0" headerRowDxfId="22" dataDxfId="21">
  <autoFilter ref="EJ41:EJ45" xr:uid="{5443D536-CD26-4B5B-8B3F-77ADA620404C}"/>
  <tableColumns count="1">
    <tableColumn id="1" xr3:uid="{F49F2330-F2C2-4A7A-9CDE-616263A8FF56}" name="0.007" dataDxfId="23"/>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DE13665-773E-4DEE-BFE8-FC53D966ADCC}" name="Table117" displayName="Table117" ref="EK41:EK45" totalsRowShown="0" headerRowDxfId="19" dataDxfId="18">
  <autoFilter ref="EK41:EK45" xr:uid="{4BF4D9C4-3C3C-4004-9190-937A252C1954}"/>
  <tableColumns count="1">
    <tableColumn id="1" xr3:uid="{0274A632-2246-4520-860E-DA00E71A9089}" name="0.006" dataDxfId="20"/>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BAFD6DE-FB63-4ABA-8F10-EAD8BA046464}" name="Table118" displayName="Table118" ref="EL41:EL44" totalsRowShown="0" headerRowDxfId="16" dataDxfId="15">
  <autoFilter ref="EL41:EL44" xr:uid="{FDC11CA4-315D-43BE-9EFA-8DEEFD55A46D}"/>
  <tableColumns count="1">
    <tableColumn id="1" xr3:uid="{3DE515E2-2B77-42F2-B9C6-781BDAFA0166}" name="0.005" dataDxfId="17"/>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A7232C58-C3BE-41F3-8C70-D09C807E0B46}" name="Table119" displayName="Table119" ref="EM41:EM44" totalsRowShown="0" headerRowDxfId="13" dataDxfId="12">
  <autoFilter ref="EM41:EM44" xr:uid="{D76573AB-4A31-4911-815C-19B019D8E602}"/>
  <tableColumns count="1">
    <tableColumn id="1" xr3:uid="{EBFE51A8-AB6B-4350-BF9E-38CD8CA1098F}" name="0.004" dataDxfId="14"/>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FFD9EF55-E425-4DAD-BD56-F4C5288A37A9}" name="Table120" displayName="Table120" ref="EN41:EN43" totalsRowShown="0" headerRowDxfId="10" dataDxfId="9">
  <autoFilter ref="EN41:EN43" xr:uid="{C14A6BA1-93C8-414E-AC3F-2FEB6226DA53}"/>
  <tableColumns count="1">
    <tableColumn id="1" xr3:uid="{FD397BB4-1AFC-4774-A824-FB793ABFA796}" name="0.003" dataDxfId="11"/>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AEBE3BC9-B874-4A00-8E8A-8EB6BA838F23}" name="Table121" displayName="Table121" ref="EO41:EO43" totalsRowShown="0" headerRowDxfId="7" dataDxfId="6">
  <autoFilter ref="EO41:EO43" xr:uid="{BA182345-C5AE-4496-AFB0-4383AAC8881F}"/>
  <tableColumns count="1">
    <tableColumn id="1" xr3:uid="{2C67A6D1-9FBA-4D22-93B6-5E19256E2B37}" name="0.002" dataDxfId="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BB8EB19-C8EC-45A9-AA95-B641BFF858E3}" name="Table68" displayName="Table68" ref="CN41:CN69" totalsRowShown="0" headerRowDxfId="166" dataDxfId="165">
  <autoFilter ref="CN41:CN69" xr:uid="{8498192A-45B1-4A3B-BFD7-DDCDEB8DB861}"/>
  <tableColumns count="1">
    <tableColumn id="1" xr3:uid="{25F3205C-1176-4716-90C9-C5D0DE6C7B11}" name="0.055" dataDxfId="167"/>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98151951-AADF-4727-89DE-32F7074EC349}" name="Table122" displayName="Table122" ref="EP41:EP42" totalsRowShown="0" headerRowDxfId="4" dataDxfId="3">
  <autoFilter ref="EP41:EP42" xr:uid="{9BD04666-E046-4BE0-B86D-0CB0E37501BB}"/>
  <tableColumns count="1">
    <tableColumn id="1" xr3:uid="{7B063A76-7352-4F0F-917F-4BBAD591E06B}" name="0.001" dataDxfId="5"/>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1A444C38-37AC-47E7-B32C-52F3B9445C9E}" name="Table123" displayName="Table123" ref="EQ41:EQ42" totalsRowShown="0" headerRowDxfId="1" dataDxfId="0">
  <autoFilter ref="EQ41:EQ42" xr:uid="{A4E8681B-C260-40DA-9D2E-3A4D873161BA}"/>
  <tableColumns count="1">
    <tableColumn id="1" xr3:uid="{19686825-A0DE-487A-91F6-DE77FD759B25}" name="0.000" dataDxfId="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0116506-8117-4423-8D7B-74F094CD7C19}" name="Table69" displayName="Table69" ref="CO41:CO69" totalsRowShown="0" headerRowDxfId="163" dataDxfId="162">
  <autoFilter ref="CO41:CO69" xr:uid="{18DCEDD1-5462-40B6-9FE4-0CEB1705F818}"/>
  <tableColumns count="1">
    <tableColumn id="1" xr3:uid="{B40B9A82-46EB-42FD-A648-BEEBCE9746C2}" name="0.054" dataDxfId="16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2828039-4ADC-4A79-B0F3-34855A34F682}" name="Table70" displayName="Table70" ref="CP41:CP68" totalsRowShown="0" headerRowDxfId="160" dataDxfId="159">
  <autoFilter ref="CP41:CP68" xr:uid="{C439EEBA-5BF7-4CCF-9389-E93BBC20A8CC}"/>
  <tableColumns count="1">
    <tableColumn id="1" xr3:uid="{338E3C5D-CF26-4CFB-ADFD-9C612F382467}" name="0.053" dataDxfId="16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6D3A99E-2821-4A79-B7B6-386DCEFFD134}" name="Table71" displayName="Table71" ref="CQ41:CQ68" totalsRowShown="0" headerRowDxfId="157" dataDxfId="156">
  <autoFilter ref="CQ41:CQ68" xr:uid="{DFA5CDCF-923C-4BCE-BE9A-B696BA55B67E}"/>
  <tableColumns count="1">
    <tableColumn id="1" xr3:uid="{3B1BBB2D-05CC-4CF2-AC6C-09D472BD29C0}" name="0.052" dataDxfId="15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63" Type="http://schemas.openxmlformats.org/officeDocument/2006/relationships/table" Target="../tables/table61.xml"/><Relationship Id="rId7" Type="http://schemas.openxmlformats.org/officeDocument/2006/relationships/table" Target="../tables/table5.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61" Type="http://schemas.openxmlformats.org/officeDocument/2006/relationships/table" Target="../tables/table59.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1:GD865"/>
  <sheetViews>
    <sheetView tabSelected="1" zoomScaleNormal="100" workbookViewId="0"/>
  </sheetViews>
  <sheetFormatPr defaultColWidth="8.85546875" defaultRowHeight="15" x14ac:dyDescent="0.25"/>
  <cols>
    <col min="1" max="1" width="8.85546875" style="5"/>
    <col min="2" max="3" width="9.140625" style="5" customWidth="1"/>
    <col min="4" max="7" width="25.7109375" style="5" customWidth="1"/>
    <col min="8" max="8" width="7.7109375" style="5" customWidth="1"/>
    <col min="9" max="12" width="25.7109375" style="5" customWidth="1"/>
    <col min="13" max="15" width="9.140625" style="5" customWidth="1"/>
    <col min="16" max="16" width="9.140625" style="125" customWidth="1"/>
    <col min="17" max="19" width="20.7109375" style="57" hidden="1" customWidth="1"/>
    <col min="20" max="20" width="3.140625" style="57" hidden="1" customWidth="1"/>
    <col min="21" max="21" width="16.85546875" style="133" hidden="1" customWidth="1"/>
    <col min="22" max="22" width="14.42578125" style="133" hidden="1" customWidth="1"/>
    <col min="23" max="27" width="20.7109375" style="133" hidden="1" customWidth="1"/>
    <col min="28" max="28" width="3.42578125" style="133" hidden="1" customWidth="1"/>
    <col min="29" max="36" width="20.7109375" style="133" hidden="1" customWidth="1"/>
    <col min="37" max="37" width="3" style="133" hidden="1" customWidth="1"/>
    <col min="38" max="49" width="20.7109375" style="57" hidden="1" customWidth="1"/>
    <col min="50" max="50" width="2.42578125" style="57" hidden="1" customWidth="1"/>
    <col min="51" max="52" width="20.7109375" style="57" hidden="1" customWidth="1"/>
    <col min="53" max="53" width="2.7109375" style="57" hidden="1" customWidth="1"/>
    <col min="54" max="63" width="20.7109375" style="57" hidden="1" customWidth="1"/>
    <col min="64" max="64" width="2.42578125" style="57" hidden="1" customWidth="1"/>
    <col min="65" max="75" width="20.7109375" style="57" hidden="1" customWidth="1"/>
    <col min="76" max="80" width="8.85546875" style="57" hidden="1" customWidth="1"/>
    <col min="81" max="81" width="25.7109375" style="57" hidden="1" customWidth="1"/>
    <col min="82" max="147" width="8.85546875" style="57" hidden="1" customWidth="1"/>
    <col min="148" max="151" width="8.85546875" style="125" customWidth="1"/>
    <col min="152" max="163" width="8.85546875" style="5" customWidth="1"/>
    <col min="164" max="16384" width="8.85546875" style="5"/>
  </cols>
  <sheetData>
    <row r="1" spans="4:100" ht="15.95" customHeight="1" x14ac:dyDescent="0.25"/>
    <row r="2" spans="4:100" ht="15.95" customHeight="1" thickBot="1" x14ac:dyDescent="0.3"/>
    <row r="3" spans="4:100" ht="15.95" customHeight="1" x14ac:dyDescent="0.25">
      <c r="D3" s="141" t="s">
        <v>845</v>
      </c>
      <c r="E3" s="142"/>
      <c r="F3" s="142"/>
      <c r="G3" s="143"/>
    </row>
    <row r="4" spans="4:100" ht="15.95" customHeight="1" x14ac:dyDescent="0.25">
      <c r="D4" s="144"/>
      <c r="E4" s="145"/>
      <c r="F4" s="145"/>
      <c r="G4" s="146"/>
      <c r="H4" s="42"/>
      <c r="I4" s="42"/>
      <c r="J4" s="42"/>
      <c r="K4" s="42"/>
      <c r="L4" s="42"/>
    </row>
    <row r="5" spans="4:100" ht="15.95" customHeight="1" thickBot="1" x14ac:dyDescent="0.3">
      <c r="D5" s="185" t="s">
        <v>981</v>
      </c>
      <c r="E5" s="186"/>
      <c r="F5" s="186"/>
      <c r="G5" s="187"/>
      <c r="H5" s="42"/>
      <c r="I5" s="42"/>
      <c r="J5" s="42"/>
      <c r="K5" s="42"/>
      <c r="L5" s="42"/>
    </row>
    <row r="6" spans="4:100" ht="15.95" customHeight="1" x14ac:dyDescent="0.25">
      <c r="D6" s="185"/>
      <c r="E6" s="186"/>
      <c r="F6" s="186"/>
      <c r="G6" s="187"/>
      <c r="I6" s="191" t="s">
        <v>980</v>
      </c>
      <c r="J6" s="192"/>
      <c r="K6" s="192"/>
      <c r="L6" s="193"/>
      <c r="M6" s="43"/>
      <c r="N6" s="43"/>
      <c r="O6" s="43"/>
      <c r="BX6" s="139" t="s">
        <v>756</v>
      </c>
      <c r="BY6" s="139"/>
      <c r="BZ6" s="139"/>
      <c r="CA6" s="139"/>
      <c r="CB6" s="139"/>
      <c r="CC6" s="139"/>
      <c r="CD6" s="139"/>
    </row>
    <row r="7" spans="4:100" ht="15.95" customHeight="1" thickBot="1" x14ac:dyDescent="0.3">
      <c r="D7" s="188"/>
      <c r="E7" s="189"/>
      <c r="F7" s="189"/>
      <c r="G7" s="190"/>
      <c r="I7" s="194"/>
      <c r="J7" s="195"/>
      <c r="K7" s="195"/>
      <c r="L7" s="196"/>
      <c r="M7" s="43"/>
      <c r="N7" s="43"/>
      <c r="O7" s="43"/>
      <c r="BX7" s="133">
        <v>10</v>
      </c>
      <c r="BY7" s="133">
        <v>5</v>
      </c>
      <c r="BZ7" s="133">
        <v>100</v>
      </c>
      <c r="CA7" s="133">
        <v>35</v>
      </c>
      <c r="CB7" s="133" t="s">
        <v>66</v>
      </c>
      <c r="CC7" s="57" t="s">
        <v>61</v>
      </c>
      <c r="CD7" s="57">
        <v>-6</v>
      </c>
      <c r="CH7" s="58" t="s">
        <v>836</v>
      </c>
      <c r="CI7" s="130"/>
      <c r="CJ7" s="130"/>
      <c r="CK7" s="130"/>
      <c r="CL7" s="130"/>
      <c r="CM7" s="130"/>
      <c r="CN7" s="130"/>
      <c r="CO7" s="133"/>
      <c r="CP7" s="133"/>
    </row>
    <row r="8" spans="4:100" ht="15.95" customHeight="1" x14ac:dyDescent="0.25">
      <c r="D8" s="44"/>
      <c r="E8" s="215" t="s">
        <v>982</v>
      </c>
      <c r="F8" s="215"/>
      <c r="G8" s="45"/>
      <c r="I8" s="197"/>
      <c r="J8" s="198"/>
      <c r="K8" s="198"/>
      <c r="L8" s="199"/>
      <c r="M8" s="46"/>
      <c r="N8" s="46"/>
      <c r="O8" s="46"/>
      <c r="BX8" s="133">
        <v>10.5</v>
      </c>
      <c r="BY8" s="133">
        <v>10</v>
      </c>
      <c r="BZ8" s="133">
        <v>100</v>
      </c>
      <c r="CA8" s="133">
        <v>35</v>
      </c>
      <c r="CB8" s="133" t="s">
        <v>67</v>
      </c>
      <c r="CC8" s="57" t="s">
        <v>61</v>
      </c>
      <c r="CD8" s="57">
        <v>-5</v>
      </c>
      <c r="CH8" s="148" t="s">
        <v>830</v>
      </c>
      <c r="CI8" s="148"/>
      <c r="CJ8" s="148"/>
      <c r="CK8" s="139" t="s">
        <v>842</v>
      </c>
      <c r="CL8" s="139"/>
      <c r="CM8" s="139" t="s">
        <v>834</v>
      </c>
      <c r="CN8" s="139"/>
      <c r="CO8" s="148" t="s">
        <v>831</v>
      </c>
      <c r="CP8" s="148"/>
      <c r="CU8" s="139" t="s">
        <v>832</v>
      </c>
      <c r="CV8" s="139"/>
    </row>
    <row r="9" spans="4:100" ht="15.95" customHeight="1" x14ac:dyDescent="0.25">
      <c r="D9" s="6" t="s">
        <v>976</v>
      </c>
      <c r="E9" s="15"/>
      <c r="F9" s="8" t="s">
        <v>977</v>
      </c>
      <c r="G9" s="55"/>
      <c r="I9" s="200" t="s">
        <v>805</v>
      </c>
      <c r="J9" s="201"/>
      <c r="K9" s="201"/>
      <c r="L9" s="202"/>
      <c r="M9" s="47"/>
      <c r="N9" s="47"/>
      <c r="O9" s="47"/>
      <c r="P9" s="126"/>
      <c r="BX9" s="133">
        <v>11</v>
      </c>
      <c r="BY9" s="133">
        <v>15</v>
      </c>
      <c r="BZ9" s="133">
        <v>100</v>
      </c>
      <c r="CA9" s="133">
        <v>35</v>
      </c>
      <c r="CB9" s="133" t="s">
        <v>68</v>
      </c>
      <c r="CC9" s="57" t="s">
        <v>61</v>
      </c>
      <c r="CD9" s="57">
        <v>-4</v>
      </c>
      <c r="CH9" s="139">
        <f>IF(AND(F24&gt;CH10,F24&lt;CH11),1,0)</f>
        <v>0</v>
      </c>
      <c r="CI9" s="139"/>
      <c r="CJ9" s="139"/>
      <c r="CK9" s="148">
        <f>IF(E14&gt;=350,1,0)</f>
        <v>0</v>
      </c>
      <c r="CL9" s="148"/>
      <c r="CM9" s="139">
        <f>IF(G20&gt;0.03,1,0)</f>
        <v>1</v>
      </c>
      <c r="CN9" s="139"/>
      <c r="CO9" s="148">
        <f>SUM(CH9:CN9)</f>
        <v>1</v>
      </c>
      <c r="CP9" s="148"/>
      <c r="CU9" s="148" t="str">
        <f>IF(CO9=3,CH7,"")</f>
        <v/>
      </c>
      <c r="CV9" s="148"/>
    </row>
    <row r="10" spans="4:100" ht="15.95" customHeight="1" x14ac:dyDescent="0.25">
      <c r="D10" s="6" t="s">
        <v>978</v>
      </c>
      <c r="E10" s="15"/>
      <c r="F10" s="48" t="s">
        <v>979</v>
      </c>
      <c r="G10" s="56"/>
      <c r="I10" s="203"/>
      <c r="J10" s="204"/>
      <c r="K10" s="204"/>
      <c r="L10" s="205"/>
      <c r="M10" s="47"/>
      <c r="N10" s="47"/>
      <c r="O10" s="47"/>
      <c r="P10" s="126"/>
      <c r="BX10" s="133">
        <v>11.5</v>
      </c>
      <c r="BY10" s="133">
        <v>20</v>
      </c>
      <c r="BZ10" s="133">
        <v>100</v>
      </c>
      <c r="CA10" s="133">
        <v>35</v>
      </c>
      <c r="CB10" s="133" t="s">
        <v>69</v>
      </c>
      <c r="CC10" s="57" t="s">
        <v>60</v>
      </c>
      <c r="CD10" s="57">
        <v>-3</v>
      </c>
      <c r="CH10" s="139">
        <v>2.5</v>
      </c>
      <c r="CI10" s="139"/>
      <c r="CJ10" s="139"/>
      <c r="CK10" s="133"/>
      <c r="CL10" s="130"/>
      <c r="CM10" s="130"/>
      <c r="CN10" s="130"/>
      <c r="CO10" s="133"/>
      <c r="CP10" s="133"/>
    </row>
    <row r="11" spans="4:100" ht="15.95" customHeight="1" x14ac:dyDescent="0.25">
      <c r="D11" s="39"/>
      <c r="E11" s="38"/>
      <c r="F11" s="38"/>
      <c r="G11" s="40"/>
      <c r="I11" s="156" t="str">
        <f>HYPERLINK("https://youtu.be/TnJe8EwgPAM","Finding Ball Speed")</f>
        <v>Finding Ball Speed</v>
      </c>
      <c r="J11" s="158"/>
      <c r="K11" s="217" t="str">
        <f>HYPERLINK("https://youtu.be/5HGRXAAo18c","Finding Low/High RG Layout")</f>
        <v>Finding Low/High RG Layout</v>
      </c>
      <c r="L11" s="218"/>
      <c r="M11" s="47"/>
      <c r="N11" s="47"/>
      <c r="O11" s="47"/>
      <c r="P11" s="126"/>
      <c r="BX11" s="133">
        <v>12</v>
      </c>
      <c r="BY11" s="133">
        <v>25</v>
      </c>
      <c r="BZ11" s="133">
        <v>100</v>
      </c>
      <c r="CA11" s="133">
        <v>35</v>
      </c>
      <c r="CB11" s="133" t="s">
        <v>70</v>
      </c>
      <c r="CC11" s="57" t="s">
        <v>60</v>
      </c>
      <c r="CD11" s="57">
        <v>-2</v>
      </c>
      <c r="CH11" s="139">
        <v>4.5</v>
      </c>
      <c r="CI11" s="139"/>
      <c r="CJ11" s="139"/>
      <c r="CK11" s="133"/>
      <c r="CL11" s="133"/>
      <c r="CM11" s="133"/>
      <c r="CN11" s="133"/>
      <c r="CO11" s="133"/>
      <c r="CP11" s="133"/>
    </row>
    <row r="12" spans="4:100" ht="15.95" customHeight="1" x14ac:dyDescent="0.25">
      <c r="D12" s="175" t="s">
        <v>0</v>
      </c>
      <c r="E12" s="176"/>
      <c r="F12" s="176" t="s">
        <v>41</v>
      </c>
      <c r="G12" s="179"/>
      <c r="I12" s="156" t="str">
        <f>HYPERLINK("https://youtu.be/nRsp9eH0Qq8","Finding Rev Rate")</f>
        <v>Finding Rev Rate</v>
      </c>
      <c r="J12" s="157"/>
      <c r="K12" s="158" t="str">
        <f>HYPERLINK("https://youtu.be/l0_Gi_XSf7o","Finding Layout Strength")</f>
        <v>Finding Layout Strength</v>
      </c>
      <c r="L12" s="216"/>
      <c r="M12" s="47"/>
      <c r="N12" s="47"/>
      <c r="O12" s="47"/>
      <c r="P12" s="126"/>
      <c r="BX12" s="133">
        <v>12.5</v>
      </c>
      <c r="BY12" s="133">
        <v>30</v>
      </c>
      <c r="BZ12" s="133">
        <v>100</v>
      </c>
      <c r="CA12" s="133">
        <v>35</v>
      </c>
      <c r="CB12" s="133" t="s">
        <v>71</v>
      </c>
      <c r="CC12" s="57" t="s">
        <v>60</v>
      </c>
      <c r="CD12" s="57">
        <v>-1</v>
      </c>
      <c r="CH12" s="58" t="s">
        <v>837</v>
      </c>
      <c r="CI12" s="133"/>
      <c r="CJ12" s="133"/>
      <c r="CK12" s="133"/>
      <c r="CL12" s="133"/>
      <c r="CM12" s="133"/>
      <c r="CN12" s="133"/>
      <c r="CO12" s="133"/>
      <c r="CP12" s="133"/>
    </row>
    <row r="13" spans="4:100" ht="15.95" customHeight="1" x14ac:dyDescent="0.25">
      <c r="D13" s="6" t="s">
        <v>1</v>
      </c>
      <c r="E13" s="7">
        <v>17</v>
      </c>
      <c r="F13" s="8" t="s">
        <v>844</v>
      </c>
      <c r="G13" s="9" t="s">
        <v>24</v>
      </c>
      <c r="I13" s="156" t="str">
        <f>HYPERLINK("https://youtu.be/ITanuNX_A7I","Finding Axis Tilt")</f>
        <v>Finding Axis Tilt</v>
      </c>
      <c r="J13" s="157"/>
      <c r="K13" s="158" t="str">
        <f>HYPERLINK("https://youtu.be/uZou0XZpX-o","Finding Shape")</f>
        <v>Finding Shape</v>
      </c>
      <c r="L13" s="216"/>
      <c r="M13" s="47"/>
      <c r="N13" s="47"/>
      <c r="O13" s="47"/>
      <c r="BX13" s="133">
        <v>13</v>
      </c>
      <c r="BY13" s="133">
        <v>35</v>
      </c>
      <c r="BZ13" s="133">
        <v>100</v>
      </c>
      <c r="CA13" s="133">
        <v>35</v>
      </c>
      <c r="CB13" s="133" t="s">
        <v>72</v>
      </c>
      <c r="CC13" s="57" t="s">
        <v>54</v>
      </c>
      <c r="CD13" s="57">
        <v>0</v>
      </c>
      <c r="CH13" s="139" t="s">
        <v>843</v>
      </c>
      <c r="CI13" s="139"/>
      <c r="CJ13" s="139"/>
      <c r="CK13" s="139" t="s">
        <v>833</v>
      </c>
      <c r="CL13" s="139"/>
      <c r="CM13" s="139" t="s">
        <v>850</v>
      </c>
      <c r="CN13" s="139"/>
      <c r="CO13" s="139" t="s">
        <v>831</v>
      </c>
      <c r="CP13" s="139"/>
      <c r="CQ13" s="139" t="s">
        <v>851</v>
      </c>
      <c r="CR13" s="139"/>
      <c r="CU13" s="139" t="s">
        <v>832</v>
      </c>
      <c r="CV13" s="139"/>
    </row>
    <row r="14" spans="4:100" ht="15.95" customHeight="1" x14ac:dyDescent="0.25">
      <c r="D14" s="6" t="s">
        <v>2</v>
      </c>
      <c r="E14" s="7">
        <v>300</v>
      </c>
      <c r="F14" s="8" t="s">
        <v>712</v>
      </c>
      <c r="G14" s="9" t="s">
        <v>19</v>
      </c>
      <c r="I14" s="156" t="str">
        <f>HYPERLINK("https://youtu.be/yLF4woKITPo","Finding Axis Rotation")</f>
        <v>Finding Axis Rotation</v>
      </c>
      <c r="J14" s="157"/>
      <c r="K14" s="158" t="str">
        <f>HYPERLINK("https://youtu.be/Ta9VOe4GzsY","Finding Length")</f>
        <v>Finding Length</v>
      </c>
      <c r="L14" s="216"/>
      <c r="M14" s="47"/>
      <c r="N14" s="47"/>
      <c r="O14" s="47"/>
      <c r="BX14" s="133">
        <v>13.5</v>
      </c>
      <c r="BY14" s="133">
        <v>40</v>
      </c>
      <c r="BZ14" s="133">
        <v>100</v>
      </c>
      <c r="CA14" s="133">
        <v>35</v>
      </c>
      <c r="CB14" s="133" t="s">
        <v>73</v>
      </c>
      <c r="CC14" s="57" t="s">
        <v>55</v>
      </c>
      <c r="CD14" s="57">
        <v>1</v>
      </c>
      <c r="CH14" s="139">
        <f>IF(AND(E15&lt;=6,F26&gt;=(F24*0.75)),1,0)</f>
        <v>0</v>
      </c>
      <c r="CI14" s="139"/>
      <c r="CJ14" s="139"/>
      <c r="CK14" s="139">
        <f>IF(F26/F24&gt;0.75,1,0)</f>
        <v>0</v>
      </c>
      <c r="CL14" s="139"/>
      <c r="CM14" s="139">
        <f>IFERROR(CK14,1)</f>
        <v>0</v>
      </c>
      <c r="CN14" s="139"/>
      <c r="CO14" s="139">
        <f>SUM(CH14:CL14)</f>
        <v>0</v>
      </c>
      <c r="CP14" s="139"/>
      <c r="CQ14" s="139">
        <f>IFERROR(CO14,SUM(CH14+CM14))</f>
        <v>0</v>
      </c>
      <c r="CR14" s="139"/>
      <c r="CU14" s="139" t="str">
        <f>IF(CQ14=2,CH12,"")</f>
        <v/>
      </c>
      <c r="CV14" s="139"/>
    </row>
    <row r="15" spans="4:100" ht="15.95" customHeight="1" x14ac:dyDescent="0.25">
      <c r="D15" s="6" t="s">
        <v>4</v>
      </c>
      <c r="E15" s="7">
        <v>15</v>
      </c>
      <c r="F15" s="8" t="s">
        <v>779</v>
      </c>
      <c r="G15" s="9" t="s">
        <v>789</v>
      </c>
      <c r="I15" s="156" t="str">
        <f>HYPERLINK("https://youtu.be/9slEEN4kELY","Finding Pattern Length")</f>
        <v>Finding Pattern Length</v>
      </c>
      <c r="J15" s="157"/>
      <c r="K15" s="158" t="str">
        <f>HYPERLINK("https://youtu.be/HqIeBwQcvFg","Finding Low RG Value")</f>
        <v>Finding Low RG Value</v>
      </c>
      <c r="L15" s="216"/>
      <c r="M15" s="47"/>
      <c r="N15" s="47"/>
      <c r="O15" s="47"/>
      <c r="BX15" s="133">
        <v>14</v>
      </c>
      <c r="BY15" s="133">
        <v>45</v>
      </c>
      <c r="BZ15" s="133">
        <v>100</v>
      </c>
      <c r="CA15" s="133">
        <v>35</v>
      </c>
      <c r="CB15" s="133" t="s">
        <v>74</v>
      </c>
      <c r="CC15" s="57" t="s">
        <v>55</v>
      </c>
      <c r="CD15" s="57">
        <v>2</v>
      </c>
    </row>
    <row r="16" spans="4:100" ht="15.95" customHeight="1" x14ac:dyDescent="0.25">
      <c r="D16" s="6" t="s">
        <v>6</v>
      </c>
      <c r="E16" s="7">
        <v>55</v>
      </c>
      <c r="F16" s="8" t="s">
        <v>9</v>
      </c>
      <c r="G16" s="9" t="s">
        <v>19</v>
      </c>
      <c r="I16" s="156" t="str">
        <f>HYPERLINK("https://youtu.be/WtBFJ90qyzg","Finding Pattern Volume")</f>
        <v>Finding Pattern Volume</v>
      </c>
      <c r="J16" s="157"/>
      <c r="K16" s="158" t="str">
        <f>HYPERLINK("https://youtu.be/moNuZSJsAdE","Finding Total Differential")</f>
        <v>Finding Total Differential</v>
      </c>
      <c r="L16" s="216"/>
      <c r="M16" s="14"/>
      <c r="N16" s="14"/>
      <c r="O16" s="14"/>
      <c r="BX16" s="133">
        <v>14.5</v>
      </c>
      <c r="BY16" s="133">
        <v>50</v>
      </c>
      <c r="BZ16" s="133">
        <v>100</v>
      </c>
      <c r="CA16" s="133">
        <v>35</v>
      </c>
      <c r="CB16" s="133" t="s">
        <v>75</v>
      </c>
      <c r="CC16" s="57" t="s">
        <v>55</v>
      </c>
      <c r="CD16" s="57">
        <v>3</v>
      </c>
      <c r="CH16" s="57" t="s">
        <v>840</v>
      </c>
    </row>
    <row r="17" spans="4:100" ht="15.95" customHeight="1" thickBot="1" x14ac:dyDescent="0.3">
      <c r="D17" s="10"/>
      <c r="E17" s="11"/>
      <c r="F17" s="8"/>
      <c r="G17" s="49">
        <v>0</v>
      </c>
      <c r="I17" s="219" t="str">
        <f>HYPERLINK("https://youtu.be/8ufxhx5Z0vo","Finding Lane Surface")</f>
        <v>Finding Lane Surface</v>
      </c>
      <c r="J17" s="220"/>
      <c r="K17" s="154" t="str">
        <f>HYPERLINK("https://youtu.be/JgdJ_YCB_Bs","Finding PSA")</f>
        <v>Finding PSA</v>
      </c>
      <c r="L17" s="155"/>
      <c r="M17" s="47"/>
      <c r="N17" s="47"/>
      <c r="O17" s="47"/>
      <c r="BX17" s="133">
        <v>15</v>
      </c>
      <c r="BY17" s="133">
        <v>55</v>
      </c>
      <c r="BZ17" s="133">
        <v>100</v>
      </c>
      <c r="CA17" s="133">
        <v>35</v>
      </c>
      <c r="CB17" s="133" t="s">
        <v>76</v>
      </c>
      <c r="CC17" s="57" t="s">
        <v>56</v>
      </c>
      <c r="CD17" s="57">
        <v>4</v>
      </c>
      <c r="CH17" s="139" t="s">
        <v>839</v>
      </c>
      <c r="CI17" s="139"/>
      <c r="CJ17" s="139"/>
      <c r="CK17" s="139" t="s">
        <v>838</v>
      </c>
      <c r="CL17" s="139"/>
      <c r="CM17" s="139"/>
      <c r="CN17" s="139"/>
      <c r="CO17" s="139" t="s">
        <v>831</v>
      </c>
      <c r="CP17" s="139"/>
      <c r="CU17" s="139" t="s">
        <v>832</v>
      </c>
      <c r="CV17" s="139"/>
    </row>
    <row r="18" spans="4:100" ht="15.95" customHeight="1" thickBot="1" x14ac:dyDescent="0.3">
      <c r="D18" s="177" t="s">
        <v>8</v>
      </c>
      <c r="E18" s="178"/>
      <c r="F18" s="176" t="s">
        <v>12</v>
      </c>
      <c r="G18" s="179"/>
      <c r="J18" s="13"/>
      <c r="K18" s="13"/>
      <c r="L18" s="14"/>
      <c r="M18" s="47"/>
      <c r="N18" s="47"/>
      <c r="O18" s="47"/>
      <c r="BX18" s="133">
        <v>15.5</v>
      </c>
      <c r="BY18" s="133">
        <v>60</v>
      </c>
      <c r="BZ18" s="133">
        <v>100</v>
      </c>
      <c r="CA18" s="133">
        <v>35</v>
      </c>
      <c r="CB18" s="133" t="s">
        <v>77</v>
      </c>
      <c r="CC18" s="57" t="s">
        <v>56</v>
      </c>
      <c r="CD18" s="57">
        <v>5</v>
      </c>
      <c r="CH18" s="139">
        <f>IF(F25&lt;2.75,1,0)</f>
        <v>0</v>
      </c>
      <c r="CI18" s="139"/>
      <c r="CJ18" s="139"/>
      <c r="CK18" s="139">
        <f>IF(F24+F25&lt;8,1,0)</f>
        <v>0</v>
      </c>
      <c r="CL18" s="139"/>
      <c r="CO18" s="139">
        <f>SUM(CH18+CK18)</f>
        <v>0</v>
      </c>
      <c r="CP18" s="139"/>
      <c r="CU18" s="139" t="str">
        <f>IF(CO18&gt;0,CH16,"")</f>
        <v/>
      </c>
      <c r="CV18" s="139"/>
    </row>
    <row r="19" spans="4:100" ht="15.95" customHeight="1" x14ac:dyDescent="0.25">
      <c r="D19" s="6" t="s">
        <v>827</v>
      </c>
      <c r="E19" s="7">
        <v>40</v>
      </c>
      <c r="F19" s="8" t="s">
        <v>829</v>
      </c>
      <c r="G19" s="12">
        <v>2.48</v>
      </c>
      <c r="I19" s="159" t="s">
        <v>848</v>
      </c>
      <c r="J19" s="160"/>
      <c r="K19" s="160"/>
      <c r="L19" s="161"/>
      <c r="M19" s="47"/>
      <c r="N19" s="47"/>
      <c r="O19" s="47"/>
      <c r="BX19" s="133">
        <v>16</v>
      </c>
      <c r="BY19" s="133">
        <v>65</v>
      </c>
      <c r="BZ19" s="133">
        <v>100</v>
      </c>
      <c r="CA19" s="133">
        <v>35</v>
      </c>
      <c r="CB19" s="133" t="s">
        <v>78</v>
      </c>
      <c r="CC19" s="57" t="s">
        <v>56</v>
      </c>
      <c r="CD19" s="57">
        <v>6</v>
      </c>
    </row>
    <row r="20" spans="4:100" ht="15.95" customHeight="1" x14ac:dyDescent="0.25">
      <c r="D20" s="6" t="s">
        <v>828</v>
      </c>
      <c r="E20" s="7">
        <v>25</v>
      </c>
      <c r="F20" s="8" t="s">
        <v>721</v>
      </c>
      <c r="G20" s="12">
        <v>0.05</v>
      </c>
      <c r="I20" s="162"/>
      <c r="J20" s="163"/>
      <c r="K20" s="163"/>
      <c r="L20" s="164"/>
      <c r="M20" s="47"/>
      <c r="N20" s="47"/>
      <c r="O20" s="47"/>
      <c r="BX20" s="133">
        <v>16.5</v>
      </c>
      <c r="BY20" s="133">
        <v>70</v>
      </c>
      <c r="BZ20" s="133">
        <v>100</v>
      </c>
      <c r="CA20" s="133">
        <v>35</v>
      </c>
      <c r="CB20" s="133" t="s">
        <v>79</v>
      </c>
      <c r="CC20" s="57" t="s">
        <v>57</v>
      </c>
      <c r="CD20" s="57">
        <v>7</v>
      </c>
      <c r="CH20" s="57" t="s">
        <v>853</v>
      </c>
    </row>
    <row r="21" spans="4:100" ht="15.95" customHeight="1" x14ac:dyDescent="0.25">
      <c r="D21" s="6" t="s">
        <v>40</v>
      </c>
      <c r="E21" s="15" t="s">
        <v>44</v>
      </c>
      <c r="F21" s="8" t="s">
        <v>852</v>
      </c>
      <c r="G21" s="12">
        <v>0</v>
      </c>
      <c r="I21" s="206" t="str">
        <f>CU33</f>
        <v xml:space="preserve">   Warning messages will prompt here if any data is entered that can potentially cause tracking issues. Evaluate with a pro shop professional prior to drilling.</v>
      </c>
      <c r="J21" s="207"/>
      <c r="K21" s="207"/>
      <c r="L21" s="208"/>
      <c r="M21" s="47"/>
      <c r="N21" s="47"/>
      <c r="O21" s="47"/>
      <c r="BX21" s="133">
        <v>17</v>
      </c>
      <c r="BY21" s="133">
        <v>75</v>
      </c>
      <c r="BZ21" s="133">
        <v>100</v>
      </c>
      <c r="CA21" s="133">
        <v>35</v>
      </c>
      <c r="CB21" s="133" t="s">
        <v>80</v>
      </c>
      <c r="CC21" s="57" t="s">
        <v>57</v>
      </c>
      <c r="CD21" s="57">
        <v>8</v>
      </c>
    </row>
    <row r="22" spans="4:100" ht="15.95" customHeight="1" x14ac:dyDescent="0.25">
      <c r="D22" s="6"/>
      <c r="E22" s="11"/>
      <c r="F22" s="8"/>
      <c r="G22" s="50"/>
      <c r="I22" s="209"/>
      <c r="J22" s="210"/>
      <c r="K22" s="210"/>
      <c r="L22" s="211"/>
      <c r="M22" s="47"/>
      <c r="N22" s="47"/>
      <c r="O22" s="47"/>
      <c r="BX22" s="133">
        <v>17.5</v>
      </c>
      <c r="BY22" s="133">
        <v>80</v>
      </c>
      <c r="BZ22" s="133">
        <v>100</v>
      </c>
      <c r="CA22" s="133">
        <v>35</v>
      </c>
      <c r="CB22" s="133" t="s">
        <v>81</v>
      </c>
      <c r="CC22" s="57" t="s">
        <v>57</v>
      </c>
      <c r="CD22" s="57">
        <v>9</v>
      </c>
    </row>
    <row r="23" spans="4:100" ht="15.95" customHeight="1" x14ac:dyDescent="0.25">
      <c r="D23" s="16"/>
      <c r="E23" s="180" t="s">
        <v>846</v>
      </c>
      <c r="F23" s="178"/>
      <c r="G23" s="17"/>
      <c r="I23" s="209"/>
      <c r="J23" s="210"/>
      <c r="K23" s="210"/>
      <c r="L23" s="211"/>
      <c r="BX23" s="133">
        <v>18</v>
      </c>
      <c r="BY23" s="133">
        <v>85</v>
      </c>
      <c r="BZ23" s="133">
        <v>100</v>
      </c>
      <c r="CA23" s="133">
        <v>35</v>
      </c>
      <c r="CB23" s="133" t="s">
        <v>82</v>
      </c>
      <c r="CC23" s="57" t="s">
        <v>58</v>
      </c>
      <c r="CD23" s="57">
        <v>10</v>
      </c>
    </row>
    <row r="24" spans="4:100" ht="15.95" customHeight="1" x14ac:dyDescent="0.25">
      <c r="D24" s="6"/>
      <c r="E24" s="18" t="s">
        <v>825</v>
      </c>
      <c r="F24" s="4">
        <f>(S40)</f>
        <v>5</v>
      </c>
      <c r="G24" s="19"/>
      <c r="I24" s="209"/>
      <c r="J24" s="210"/>
      <c r="K24" s="210"/>
      <c r="L24" s="211"/>
      <c r="M24" s="47"/>
      <c r="N24" s="47"/>
      <c r="O24" s="47"/>
      <c r="BX24" s="133">
        <v>22.5</v>
      </c>
      <c r="BY24" s="133">
        <v>130</v>
      </c>
      <c r="BZ24" s="133">
        <v>100</v>
      </c>
      <c r="CA24" s="133">
        <v>35</v>
      </c>
      <c r="CB24" s="133" t="s">
        <v>83</v>
      </c>
      <c r="CC24" s="57" t="s">
        <v>59</v>
      </c>
      <c r="CD24" s="57">
        <v>19</v>
      </c>
    </row>
    <row r="25" spans="4:100" ht="15.95" customHeight="1" x14ac:dyDescent="0.25">
      <c r="D25" s="6"/>
      <c r="E25" s="18" t="s">
        <v>826</v>
      </c>
      <c r="F25" s="4">
        <f>(S231)</f>
        <v>3</v>
      </c>
      <c r="G25" s="19"/>
      <c r="I25" s="209"/>
      <c r="J25" s="210"/>
      <c r="K25" s="210"/>
      <c r="L25" s="211"/>
      <c r="M25" s="51"/>
      <c r="N25" s="51"/>
      <c r="O25" s="47"/>
      <c r="BX25" s="133">
        <v>23</v>
      </c>
      <c r="BY25" s="133">
        <v>135</v>
      </c>
      <c r="BZ25" s="133">
        <v>100</v>
      </c>
      <c r="CA25" s="133">
        <v>35</v>
      </c>
      <c r="CB25" s="133" t="s">
        <v>84</v>
      </c>
      <c r="CC25" s="57" t="s">
        <v>59</v>
      </c>
      <c r="CD25" s="57">
        <v>20</v>
      </c>
      <c r="CH25" s="57" t="s">
        <v>835</v>
      </c>
    </row>
    <row r="26" spans="4:100" ht="15.95" customHeight="1" x14ac:dyDescent="0.25">
      <c r="D26" s="6"/>
      <c r="E26" s="18" t="s">
        <v>14</v>
      </c>
      <c r="F26" s="4">
        <f>(S327)</f>
        <v>2.625</v>
      </c>
      <c r="G26" s="19"/>
      <c r="I26" s="209"/>
      <c r="J26" s="210"/>
      <c r="K26" s="210"/>
      <c r="L26" s="211"/>
      <c r="M26" s="51"/>
      <c r="N26" s="51"/>
      <c r="O26" s="47"/>
      <c r="BX26" s="133">
        <v>23.5</v>
      </c>
      <c r="BY26" s="133">
        <v>140</v>
      </c>
      <c r="BZ26" s="133">
        <v>100</v>
      </c>
      <c r="CA26" s="133">
        <v>35</v>
      </c>
      <c r="CB26" s="133" t="s">
        <v>85</v>
      </c>
      <c r="CC26" s="57" t="s">
        <v>59</v>
      </c>
      <c r="CD26" s="57">
        <v>21</v>
      </c>
      <c r="CH26" s="139" t="s">
        <v>841</v>
      </c>
      <c r="CI26" s="139"/>
      <c r="CJ26" s="139"/>
      <c r="CU26" s="139" t="s">
        <v>832</v>
      </c>
      <c r="CV26" s="139"/>
    </row>
    <row r="27" spans="4:100" ht="15.95" customHeight="1" x14ac:dyDescent="0.25">
      <c r="D27" s="20"/>
      <c r="E27" s="21"/>
      <c r="F27" s="21"/>
      <c r="G27" s="22"/>
      <c r="I27" s="209"/>
      <c r="J27" s="210"/>
      <c r="K27" s="210"/>
      <c r="L27" s="211"/>
      <c r="M27" s="51"/>
      <c r="N27" s="51"/>
      <c r="O27" s="47"/>
      <c r="BX27" s="133">
        <v>24</v>
      </c>
      <c r="BY27" s="133">
        <v>145</v>
      </c>
      <c r="BZ27" s="133">
        <v>100</v>
      </c>
      <c r="CA27" s="133">
        <v>35</v>
      </c>
      <c r="CB27" s="133" t="s">
        <v>86</v>
      </c>
      <c r="CC27" s="57" t="s">
        <v>59</v>
      </c>
      <c r="CD27" s="57">
        <v>22</v>
      </c>
      <c r="CH27" s="139">
        <f>IF(CO9=3,1,0)</f>
        <v>0</v>
      </c>
      <c r="CI27" s="139"/>
      <c r="CJ27" s="139"/>
      <c r="CU27" s="139" t="str">
        <f>IF(CH30=0,CH25,"")</f>
        <v>Warning messages will prompt here if any data is entered that can potentially cause tracking issues. Evaluate with a pro shop professional prior to drilling.</v>
      </c>
      <c r="CV27" s="139"/>
    </row>
    <row r="28" spans="4:100" ht="15.95" customHeight="1" x14ac:dyDescent="0.25">
      <c r="D28" s="20"/>
      <c r="E28" s="174" t="s">
        <v>16</v>
      </c>
      <c r="F28" s="174"/>
      <c r="G28" s="22"/>
      <c r="I28" s="209"/>
      <c r="J28" s="210"/>
      <c r="K28" s="210"/>
      <c r="L28" s="211"/>
      <c r="M28" s="51"/>
      <c r="N28" s="51"/>
      <c r="O28" s="47"/>
      <c r="BX28" s="133">
        <v>24.5</v>
      </c>
      <c r="BY28" s="133">
        <v>150</v>
      </c>
      <c r="BZ28" s="133">
        <v>100</v>
      </c>
      <c r="CA28" s="133">
        <v>35</v>
      </c>
      <c r="CB28" s="133" t="s">
        <v>87</v>
      </c>
      <c r="CC28" s="57" t="s">
        <v>59</v>
      </c>
      <c r="CD28" s="57">
        <v>23</v>
      </c>
      <c r="CH28" s="139">
        <f>IF(CQ14=2,1,0)</f>
        <v>0</v>
      </c>
      <c r="CI28" s="139"/>
      <c r="CJ28" s="139"/>
    </row>
    <row r="29" spans="4:100" ht="15.95" customHeight="1" thickBot="1" x14ac:dyDescent="0.3">
      <c r="D29" s="23"/>
      <c r="E29" s="24"/>
      <c r="F29" s="24"/>
      <c r="G29" s="25"/>
      <c r="I29" s="209"/>
      <c r="J29" s="210"/>
      <c r="K29" s="210"/>
      <c r="L29" s="211"/>
      <c r="M29" s="51"/>
      <c r="N29" s="51"/>
      <c r="O29" s="47"/>
      <c r="Q29" s="139" t="s">
        <v>768</v>
      </c>
      <c r="R29" s="139"/>
      <c r="S29" s="139"/>
      <c r="U29" s="148" t="s">
        <v>763</v>
      </c>
      <c r="V29" s="148"/>
      <c r="W29" s="148"/>
      <c r="X29" s="148"/>
      <c r="Y29" s="148"/>
      <c r="Z29" s="148"/>
      <c r="AA29" s="130"/>
      <c r="AB29" s="130"/>
      <c r="AC29" s="149" t="s">
        <v>764</v>
      </c>
      <c r="AD29" s="149"/>
      <c r="AE29" s="149"/>
      <c r="AF29" s="149"/>
      <c r="AG29" s="149"/>
      <c r="AH29" s="149"/>
      <c r="AI29" s="149"/>
      <c r="AJ29" s="149"/>
      <c r="AK29" s="59"/>
      <c r="AL29" s="149" t="s">
        <v>765</v>
      </c>
      <c r="AM29" s="149"/>
      <c r="AN29" s="149"/>
      <c r="AO29" s="149"/>
      <c r="AP29" s="149"/>
      <c r="AQ29" s="149"/>
      <c r="AR29" s="149"/>
      <c r="AS29" s="149"/>
      <c r="AT29" s="149"/>
      <c r="AU29" s="149"/>
      <c r="AV29" s="149"/>
      <c r="AW29" s="149"/>
      <c r="BB29" s="149" t="s">
        <v>766</v>
      </c>
      <c r="BC29" s="149"/>
      <c r="BD29" s="149"/>
      <c r="BE29" s="149"/>
      <c r="BF29" s="149"/>
      <c r="BG29" s="149"/>
      <c r="BH29" s="149"/>
      <c r="BI29" s="149"/>
      <c r="BJ29" s="149"/>
      <c r="BK29" s="149"/>
      <c r="BM29" s="149" t="s">
        <v>767</v>
      </c>
      <c r="BN29" s="149"/>
      <c r="BO29" s="149"/>
      <c r="BP29" s="149"/>
      <c r="BQ29" s="149"/>
      <c r="BR29" s="149"/>
      <c r="BS29" s="149"/>
      <c r="BT29" s="149"/>
      <c r="BU29" s="149"/>
      <c r="BV29" s="149"/>
      <c r="BX29" s="133">
        <v>25</v>
      </c>
      <c r="BY29" s="133">
        <v>155</v>
      </c>
      <c r="BZ29" s="133">
        <v>100</v>
      </c>
      <c r="CA29" s="133">
        <v>35</v>
      </c>
      <c r="CB29" s="133" t="s">
        <v>88</v>
      </c>
      <c r="CC29" s="57" t="s">
        <v>59</v>
      </c>
      <c r="CD29" s="57">
        <v>24</v>
      </c>
      <c r="CH29" s="139">
        <f>IF(CO18&gt;0,1,0)</f>
        <v>0</v>
      </c>
      <c r="CI29" s="139"/>
      <c r="CJ29" s="139"/>
      <c r="CU29" s="139" t="s">
        <v>984</v>
      </c>
      <c r="CV29" s="139"/>
    </row>
    <row r="30" spans="4:100" ht="15.95" customHeight="1" thickBot="1" x14ac:dyDescent="0.3">
      <c r="D30" s="26"/>
      <c r="E30" s="181" t="s">
        <v>15</v>
      </c>
      <c r="F30" s="182"/>
      <c r="G30" s="27"/>
      <c r="I30" s="212"/>
      <c r="J30" s="213"/>
      <c r="K30" s="213"/>
      <c r="L30" s="214"/>
      <c r="Q30" s="151" t="s">
        <v>730</v>
      </c>
      <c r="R30" s="152"/>
      <c r="S30" s="60">
        <f>(W80)</f>
        <v>5.0625</v>
      </c>
      <c r="T30" s="61"/>
      <c r="U30" s="135" t="s">
        <v>1</v>
      </c>
      <c r="V30" s="136" t="s">
        <v>17</v>
      </c>
      <c r="W30" s="136"/>
      <c r="X30" s="136" t="s">
        <v>2</v>
      </c>
      <c r="Y30" s="136" t="s">
        <v>17</v>
      </c>
      <c r="Z30" s="136"/>
      <c r="AA30" s="137"/>
      <c r="AB30" s="130"/>
      <c r="AC30" s="135" t="s">
        <v>4</v>
      </c>
      <c r="AD30" s="136" t="s">
        <v>17</v>
      </c>
      <c r="AE30" s="136"/>
      <c r="AF30" s="136" t="s">
        <v>6</v>
      </c>
      <c r="AG30" s="136" t="s">
        <v>17</v>
      </c>
      <c r="AH30" s="136"/>
      <c r="AI30" s="136"/>
      <c r="AJ30" s="137"/>
      <c r="AL30" s="135" t="s">
        <v>9</v>
      </c>
      <c r="AM30" s="136" t="s">
        <v>17</v>
      </c>
      <c r="AN30" s="136"/>
      <c r="AO30" s="136" t="s">
        <v>10</v>
      </c>
      <c r="AP30" s="136" t="s">
        <v>17</v>
      </c>
      <c r="AQ30" s="136"/>
      <c r="AR30" s="136" t="s">
        <v>42</v>
      </c>
      <c r="AS30" s="136" t="s">
        <v>17</v>
      </c>
      <c r="AT30" s="136"/>
      <c r="AU30" s="136"/>
      <c r="AV30" s="136"/>
      <c r="AW30" s="137"/>
      <c r="AX30" s="130"/>
      <c r="AY30" s="135" t="s">
        <v>18</v>
      </c>
      <c r="AZ30" s="137" t="s">
        <v>17</v>
      </c>
      <c r="BA30" s="133"/>
      <c r="BB30" s="135" t="s">
        <v>779</v>
      </c>
      <c r="BC30" s="136" t="s">
        <v>17</v>
      </c>
      <c r="BD30" s="136" t="s">
        <v>9</v>
      </c>
      <c r="BE30" s="136" t="s">
        <v>17</v>
      </c>
      <c r="BF30" s="136" t="s">
        <v>23</v>
      </c>
      <c r="BG30" s="136" t="s">
        <v>17</v>
      </c>
      <c r="BH30" s="136"/>
      <c r="BI30" s="136"/>
      <c r="BJ30" s="136"/>
      <c r="BK30" s="137"/>
      <c r="BL30" s="130"/>
      <c r="BM30" s="135" t="s">
        <v>25</v>
      </c>
      <c r="BN30" s="136" t="s">
        <v>17</v>
      </c>
      <c r="BO30" s="136"/>
      <c r="BP30" s="136" t="s">
        <v>13</v>
      </c>
      <c r="BQ30" s="136" t="s">
        <v>17</v>
      </c>
      <c r="BR30" s="136"/>
      <c r="BS30" s="136" t="s">
        <v>26</v>
      </c>
      <c r="BT30" s="136" t="s">
        <v>17</v>
      </c>
      <c r="BU30" s="136"/>
      <c r="BV30" s="137"/>
      <c r="BW30" s="133"/>
      <c r="BX30" s="133">
        <v>10</v>
      </c>
      <c r="BY30" s="133">
        <v>5</v>
      </c>
      <c r="BZ30" s="133">
        <v>125</v>
      </c>
      <c r="CA30" s="133">
        <v>40</v>
      </c>
      <c r="CB30" s="133" t="s">
        <v>89</v>
      </c>
      <c r="CC30" s="57" t="s">
        <v>62</v>
      </c>
      <c r="CD30" s="57">
        <v>-7</v>
      </c>
      <c r="CH30" s="139">
        <f>SUM(CH27:CJ29)</f>
        <v>0</v>
      </c>
      <c r="CI30" s="139"/>
      <c r="CJ30" s="139"/>
      <c r="CU30" s="139" t="str">
        <f>IFERROR(CU35,"Please complete all user-inputted variables to receive a recommended layout.")</f>
        <v xml:space="preserve">   Warning messages will prompt here if any data is entered that can potentially cause tracking issues. Evaluate with a pro shop professional prior to drilling.</v>
      </c>
      <c r="CV30" s="139"/>
    </row>
    <row r="31" spans="4:100" ht="15.95" customHeight="1" x14ac:dyDescent="0.25">
      <c r="D31" s="165" t="s">
        <v>847</v>
      </c>
      <c r="E31" s="166"/>
      <c r="F31" s="166"/>
      <c r="G31" s="167"/>
      <c r="I31" s="41"/>
      <c r="J31" s="41"/>
      <c r="K31" s="41"/>
      <c r="L31" s="41"/>
      <c r="Q31" s="147" t="s">
        <v>731</v>
      </c>
      <c r="R31" s="148"/>
      <c r="S31" s="62">
        <f>(AE62)</f>
        <v>4.9359374999999996</v>
      </c>
      <c r="T31" s="61"/>
      <c r="U31" s="129">
        <v>10</v>
      </c>
      <c r="V31" s="130">
        <v>5</v>
      </c>
      <c r="W31" s="130"/>
      <c r="X31" s="130">
        <v>100</v>
      </c>
      <c r="Y31" s="130">
        <v>35</v>
      </c>
      <c r="Z31" s="130"/>
      <c r="AA31" s="63"/>
      <c r="AB31" s="130"/>
      <c r="AC31" s="129">
        <v>0</v>
      </c>
      <c r="AD31" s="64">
        <v>0.9</v>
      </c>
      <c r="AE31" s="130"/>
      <c r="AF31" s="130">
        <v>5</v>
      </c>
      <c r="AG31" s="65">
        <v>1</v>
      </c>
      <c r="AH31" s="65"/>
      <c r="AI31" s="65"/>
      <c r="AJ31" s="66"/>
      <c r="AK31" s="67"/>
      <c r="AL31" s="68">
        <v>30</v>
      </c>
      <c r="AM31" s="69">
        <v>1</v>
      </c>
      <c r="AN31" s="70"/>
      <c r="AO31" s="61">
        <v>15</v>
      </c>
      <c r="AP31" s="71">
        <v>1</v>
      </c>
      <c r="AQ31" s="71"/>
      <c r="AR31" s="130" t="s">
        <v>48</v>
      </c>
      <c r="AS31" s="69">
        <v>-0.9</v>
      </c>
      <c r="AT31" s="69"/>
      <c r="AU31" s="69"/>
      <c r="AV31" s="69"/>
      <c r="AW31" s="72"/>
      <c r="AX31" s="69"/>
      <c r="AY31" s="73" t="s">
        <v>715</v>
      </c>
      <c r="AZ31" s="72">
        <v>0.1</v>
      </c>
      <c r="BA31" s="74"/>
      <c r="BB31" s="129" t="s">
        <v>788</v>
      </c>
      <c r="BC31" s="75">
        <v>0.75</v>
      </c>
      <c r="BD31" s="61" t="s">
        <v>20</v>
      </c>
      <c r="BE31" s="75">
        <v>0.8</v>
      </c>
      <c r="BF31" s="130" t="s">
        <v>7</v>
      </c>
      <c r="BG31" s="130" t="b">
        <v>1</v>
      </c>
      <c r="BH31" s="130"/>
      <c r="BI31" s="130"/>
      <c r="BJ31" s="130"/>
      <c r="BK31" s="63"/>
      <c r="BL31" s="130"/>
      <c r="BM31" s="76">
        <v>2.46</v>
      </c>
      <c r="BN31" s="75">
        <v>-0.7</v>
      </c>
      <c r="BO31" s="75"/>
      <c r="BP31" s="77">
        <v>0</v>
      </c>
      <c r="BQ31" s="75">
        <v>1</v>
      </c>
      <c r="BR31" s="75"/>
      <c r="BS31" s="77">
        <v>0</v>
      </c>
      <c r="BT31" s="75">
        <v>0.45</v>
      </c>
      <c r="BU31" s="75"/>
      <c r="BV31" s="78"/>
      <c r="BW31" s="79"/>
      <c r="BX31" s="133">
        <v>10.5</v>
      </c>
      <c r="BY31" s="133">
        <v>10</v>
      </c>
      <c r="BZ31" s="133">
        <v>125</v>
      </c>
      <c r="CA31" s="133">
        <v>40</v>
      </c>
      <c r="CB31" s="133" t="s">
        <v>90</v>
      </c>
      <c r="CC31" s="57" t="s">
        <v>61</v>
      </c>
      <c r="CD31" s="57">
        <v>-6</v>
      </c>
    </row>
    <row r="32" spans="4:100" x14ac:dyDescent="0.25">
      <c r="D32" s="168"/>
      <c r="E32" s="169"/>
      <c r="F32" s="169"/>
      <c r="G32" s="170"/>
      <c r="Q32" s="147" t="s">
        <v>732</v>
      </c>
      <c r="R32" s="148"/>
      <c r="S32" s="62">
        <f>(AP71)</f>
        <v>4.9992187499999998</v>
      </c>
      <c r="T32" s="61"/>
      <c r="U32" s="129">
        <v>10.5</v>
      </c>
      <c r="V32" s="130">
        <v>10</v>
      </c>
      <c r="W32" s="130"/>
      <c r="X32" s="130">
        <v>125</v>
      </c>
      <c r="Y32" s="130">
        <v>40</v>
      </c>
      <c r="Z32" s="130"/>
      <c r="AA32" s="63"/>
      <c r="AB32" s="130"/>
      <c r="AC32" s="129">
        <v>3</v>
      </c>
      <c r="AD32" s="64">
        <v>0.75</v>
      </c>
      <c r="AE32" s="130"/>
      <c r="AF32" s="130">
        <v>10</v>
      </c>
      <c r="AG32" s="65">
        <v>1</v>
      </c>
      <c r="AH32" s="65"/>
      <c r="AI32" s="65"/>
      <c r="AJ32" s="66"/>
      <c r="AK32" s="67"/>
      <c r="AL32" s="68">
        <v>31</v>
      </c>
      <c r="AM32" s="69">
        <v>1</v>
      </c>
      <c r="AN32" s="70"/>
      <c r="AO32" s="61">
        <v>16</v>
      </c>
      <c r="AP32" s="71">
        <v>1</v>
      </c>
      <c r="AQ32" s="71"/>
      <c r="AR32" s="130" t="s">
        <v>43</v>
      </c>
      <c r="AS32" s="69">
        <v>-0.6</v>
      </c>
      <c r="AT32" s="69"/>
      <c r="AU32" s="69"/>
      <c r="AV32" s="69"/>
      <c r="AW32" s="72"/>
      <c r="AX32" s="69"/>
      <c r="AY32" s="73" t="s">
        <v>711</v>
      </c>
      <c r="AZ32" s="72">
        <v>0.3</v>
      </c>
      <c r="BA32" s="74"/>
      <c r="BB32" s="129" t="s">
        <v>789</v>
      </c>
      <c r="BC32" s="75">
        <v>0</v>
      </c>
      <c r="BD32" s="61" t="s">
        <v>11</v>
      </c>
      <c r="BE32" s="75">
        <v>0.4</v>
      </c>
      <c r="BF32" s="130" t="s">
        <v>24</v>
      </c>
      <c r="BG32" s="130" t="b">
        <v>0</v>
      </c>
      <c r="BH32" s="130"/>
      <c r="BI32" s="130"/>
      <c r="BJ32" s="130"/>
      <c r="BK32" s="63"/>
      <c r="BL32" s="130"/>
      <c r="BM32" s="76">
        <v>2.4700000000000002</v>
      </c>
      <c r="BN32" s="75">
        <v>-0.6</v>
      </c>
      <c r="BO32" s="75"/>
      <c r="BP32" s="77">
        <v>1E-3</v>
      </c>
      <c r="BQ32" s="75">
        <v>0.97499999999999998</v>
      </c>
      <c r="BR32" s="75"/>
      <c r="BS32" s="77">
        <v>1E-3</v>
      </c>
      <c r="BT32" s="75">
        <v>0.42</v>
      </c>
      <c r="BU32" s="75"/>
      <c r="BV32" s="78"/>
      <c r="BW32" s="79"/>
      <c r="BX32" s="133">
        <v>11</v>
      </c>
      <c r="BY32" s="133">
        <v>15</v>
      </c>
      <c r="BZ32" s="133">
        <v>125</v>
      </c>
      <c r="CA32" s="133">
        <v>40</v>
      </c>
      <c r="CB32" s="133" t="s">
        <v>91</v>
      </c>
      <c r="CC32" s="57" t="s">
        <v>61</v>
      </c>
      <c r="CD32" s="57">
        <v>-5</v>
      </c>
      <c r="CU32" s="139" t="s">
        <v>989</v>
      </c>
      <c r="CV32" s="139"/>
    </row>
    <row r="33" spans="4:147" ht="15.75" thickBot="1" x14ac:dyDescent="0.3">
      <c r="D33" s="171"/>
      <c r="E33" s="172"/>
      <c r="F33" s="172"/>
      <c r="G33" s="173"/>
      <c r="Q33" s="147" t="s">
        <v>41</v>
      </c>
      <c r="R33" s="148"/>
      <c r="S33" s="62">
        <f>(BD50)</f>
        <v>5.0625</v>
      </c>
      <c r="T33" s="61"/>
      <c r="U33" s="129">
        <v>11</v>
      </c>
      <c r="V33" s="130">
        <v>15</v>
      </c>
      <c r="W33" s="130"/>
      <c r="X33" s="130">
        <v>150</v>
      </c>
      <c r="Y33" s="130">
        <v>45</v>
      </c>
      <c r="Z33" s="130"/>
      <c r="AA33" s="63"/>
      <c r="AB33" s="130"/>
      <c r="AC33" s="129">
        <v>6</v>
      </c>
      <c r="AD33" s="64">
        <v>0.6</v>
      </c>
      <c r="AE33" s="130"/>
      <c r="AF33" s="130">
        <v>15</v>
      </c>
      <c r="AG33" s="65">
        <v>0.9</v>
      </c>
      <c r="AH33" s="65"/>
      <c r="AI33" s="65"/>
      <c r="AJ33" s="66"/>
      <c r="AK33" s="67"/>
      <c r="AL33" s="68">
        <v>32</v>
      </c>
      <c r="AM33" s="69">
        <v>1</v>
      </c>
      <c r="AN33" s="70"/>
      <c r="AO33" s="61">
        <v>17</v>
      </c>
      <c r="AP33" s="71">
        <v>1</v>
      </c>
      <c r="AQ33" s="71"/>
      <c r="AR33" s="130" t="s">
        <v>46</v>
      </c>
      <c r="AS33" s="69">
        <v>-0.3</v>
      </c>
      <c r="AT33" s="69"/>
      <c r="AU33" s="69"/>
      <c r="AV33" s="69"/>
      <c r="AW33" s="72"/>
      <c r="AX33" s="69"/>
      <c r="AY33" s="73" t="s">
        <v>19</v>
      </c>
      <c r="AZ33" s="72">
        <v>0.5</v>
      </c>
      <c r="BA33" s="74"/>
      <c r="BB33" s="129" t="s">
        <v>740</v>
      </c>
      <c r="BC33" s="75">
        <v>-0.75</v>
      </c>
      <c r="BD33" s="61" t="s">
        <v>19</v>
      </c>
      <c r="BE33" s="75">
        <v>0</v>
      </c>
      <c r="BF33" s="61"/>
      <c r="BG33" s="61"/>
      <c r="BH33" s="61"/>
      <c r="BI33" s="61"/>
      <c r="BJ33" s="61"/>
      <c r="BK33" s="80"/>
      <c r="BM33" s="76">
        <v>2.48</v>
      </c>
      <c r="BN33" s="75">
        <v>-0.5</v>
      </c>
      <c r="BO33" s="75"/>
      <c r="BP33" s="77">
        <v>2E-3</v>
      </c>
      <c r="BQ33" s="75">
        <v>0.95</v>
      </c>
      <c r="BR33" s="75"/>
      <c r="BS33" s="77">
        <v>2E-3</v>
      </c>
      <c r="BT33" s="75">
        <v>0.39</v>
      </c>
      <c r="BU33" s="77"/>
      <c r="BV33" s="81"/>
      <c r="BW33" s="82"/>
      <c r="BX33" s="133">
        <v>11.5</v>
      </c>
      <c r="BY33" s="133">
        <v>20</v>
      </c>
      <c r="BZ33" s="133">
        <v>125</v>
      </c>
      <c r="CA33" s="133">
        <v>40</v>
      </c>
      <c r="CB33" s="133" t="s">
        <v>92</v>
      </c>
      <c r="CC33" s="57" t="s">
        <v>61</v>
      </c>
      <c r="CD33" s="57">
        <v>-4</v>
      </c>
      <c r="CU33" s="139" t="str">
        <f>IF(G20/2&lt;G21,"The PSA measurement cannot exceed 1/2 of the total differential measurement.",CU30)</f>
        <v xml:space="preserve">   Warning messages will prompt here if any data is entered that can potentially cause tracking issues. Evaluate with a pro shop professional prior to drilling.</v>
      </c>
      <c r="CV33" s="139"/>
    </row>
    <row r="34" spans="4:147" x14ac:dyDescent="0.25">
      <c r="Q34" s="147" t="s">
        <v>733</v>
      </c>
      <c r="R34" s="148"/>
      <c r="S34" s="62">
        <f>(BO81)</f>
        <v>5.3156249999999998</v>
      </c>
      <c r="T34" s="61"/>
      <c r="U34" s="129">
        <v>11.5</v>
      </c>
      <c r="V34" s="130">
        <v>20</v>
      </c>
      <c r="W34" s="130"/>
      <c r="X34" s="130">
        <v>175</v>
      </c>
      <c r="Y34" s="130">
        <v>50</v>
      </c>
      <c r="Z34" s="130"/>
      <c r="AA34" s="63"/>
      <c r="AB34" s="130"/>
      <c r="AC34" s="129">
        <v>9</v>
      </c>
      <c r="AD34" s="64">
        <v>0.45</v>
      </c>
      <c r="AE34" s="130"/>
      <c r="AF34" s="130">
        <v>20</v>
      </c>
      <c r="AG34" s="65">
        <v>0.75</v>
      </c>
      <c r="AH34" s="65"/>
      <c r="AI34" s="65"/>
      <c r="AJ34" s="66"/>
      <c r="AK34" s="67"/>
      <c r="AL34" s="68">
        <v>33</v>
      </c>
      <c r="AM34" s="69">
        <v>1</v>
      </c>
      <c r="AN34" s="70"/>
      <c r="AO34" s="61">
        <v>18</v>
      </c>
      <c r="AP34" s="71">
        <v>0.9</v>
      </c>
      <c r="AQ34" s="71"/>
      <c r="AR34" s="130" t="s">
        <v>44</v>
      </c>
      <c r="AS34" s="69">
        <v>0</v>
      </c>
      <c r="AT34" s="69"/>
      <c r="AU34" s="69"/>
      <c r="AV34" s="69"/>
      <c r="AW34" s="72"/>
      <c r="AX34" s="69"/>
      <c r="AY34" s="73" t="s">
        <v>5</v>
      </c>
      <c r="AZ34" s="72">
        <v>0.7</v>
      </c>
      <c r="BA34" s="74"/>
      <c r="BB34" s="68"/>
      <c r="BC34" s="75"/>
      <c r="BD34" s="61" t="s">
        <v>21</v>
      </c>
      <c r="BE34" s="75">
        <v>-0.4</v>
      </c>
      <c r="BF34" s="130"/>
      <c r="BG34" s="61"/>
      <c r="BH34" s="61"/>
      <c r="BI34" s="61"/>
      <c r="BJ34" s="61"/>
      <c r="BK34" s="80"/>
      <c r="BM34" s="76">
        <v>2.4900000000000002</v>
      </c>
      <c r="BN34" s="75">
        <v>-0.4</v>
      </c>
      <c r="BO34" s="75"/>
      <c r="BP34" s="77">
        <v>3.0000000000000001E-3</v>
      </c>
      <c r="BQ34" s="75">
        <v>0.92500000000000004</v>
      </c>
      <c r="BR34" s="75"/>
      <c r="BS34" s="77">
        <v>3.0000000000000001E-3</v>
      </c>
      <c r="BT34" s="75">
        <v>0.36</v>
      </c>
      <c r="BU34" s="77"/>
      <c r="BV34" s="81"/>
      <c r="BW34" s="82"/>
      <c r="BX34" s="133">
        <v>12</v>
      </c>
      <c r="BY34" s="133">
        <v>25</v>
      </c>
      <c r="BZ34" s="133">
        <v>125</v>
      </c>
      <c r="CA34" s="133">
        <v>40</v>
      </c>
      <c r="CB34" s="133" t="s">
        <v>93</v>
      </c>
      <c r="CC34" s="57" t="s">
        <v>60</v>
      </c>
      <c r="CD34" s="57">
        <v>-3</v>
      </c>
      <c r="CU34" s="139" t="s">
        <v>985</v>
      </c>
      <c r="CV34" s="139"/>
    </row>
    <row r="35" spans="4:147" ht="17.100000000000001" customHeight="1" thickBot="1" x14ac:dyDescent="0.3">
      <c r="Q35" s="147" t="s">
        <v>738</v>
      </c>
      <c r="R35" s="148"/>
      <c r="S35" s="62">
        <f>((S30*0.3)+(S31*0.15)+(S32*0.3)+(S33*0.15)+(S34*0.1))</f>
        <v>5.04984375</v>
      </c>
      <c r="T35" s="61"/>
      <c r="U35" s="129">
        <v>12</v>
      </c>
      <c r="V35" s="130">
        <v>25</v>
      </c>
      <c r="W35" s="130"/>
      <c r="X35" s="130">
        <v>200</v>
      </c>
      <c r="Y35" s="130">
        <v>55</v>
      </c>
      <c r="Z35" s="130"/>
      <c r="AA35" s="63"/>
      <c r="AB35" s="130"/>
      <c r="AC35" s="129">
        <v>12</v>
      </c>
      <c r="AD35" s="64">
        <v>0.3</v>
      </c>
      <c r="AE35" s="130"/>
      <c r="AF35" s="130">
        <v>25</v>
      </c>
      <c r="AG35" s="65">
        <v>0.6</v>
      </c>
      <c r="AH35" s="65"/>
      <c r="AI35" s="65"/>
      <c r="AJ35" s="66"/>
      <c r="AK35" s="67"/>
      <c r="AL35" s="68">
        <v>34</v>
      </c>
      <c r="AM35" s="69">
        <v>1</v>
      </c>
      <c r="AN35" s="70"/>
      <c r="AO35" s="61">
        <v>19</v>
      </c>
      <c r="AP35" s="71">
        <v>0.75</v>
      </c>
      <c r="AQ35" s="71"/>
      <c r="AR35" s="130" t="s">
        <v>49</v>
      </c>
      <c r="AS35" s="69">
        <v>0.3</v>
      </c>
      <c r="AT35" s="69"/>
      <c r="AU35" s="69"/>
      <c r="AV35" s="69"/>
      <c r="AW35" s="72"/>
      <c r="AX35" s="69"/>
      <c r="AY35" s="83" t="s">
        <v>716</v>
      </c>
      <c r="AZ35" s="84">
        <v>0.9</v>
      </c>
      <c r="BA35" s="74"/>
      <c r="BB35" s="68"/>
      <c r="BC35" s="75"/>
      <c r="BD35" s="61" t="s">
        <v>22</v>
      </c>
      <c r="BE35" s="75">
        <v>-0.8</v>
      </c>
      <c r="BF35" s="61"/>
      <c r="BG35" s="61"/>
      <c r="BH35" s="61"/>
      <c r="BI35" s="61"/>
      <c r="BJ35" s="61"/>
      <c r="BK35" s="80"/>
      <c r="BM35" s="76">
        <v>2.5</v>
      </c>
      <c r="BN35" s="75">
        <v>-0.3</v>
      </c>
      <c r="BO35" s="75"/>
      <c r="BP35" s="77">
        <v>4.0000000000000001E-3</v>
      </c>
      <c r="BQ35" s="75">
        <v>0.9</v>
      </c>
      <c r="BR35" s="75"/>
      <c r="BS35" s="77">
        <v>4.0000000000000001E-3</v>
      </c>
      <c r="BT35" s="75">
        <v>0.33</v>
      </c>
      <c r="BU35" s="77"/>
      <c r="BV35" s="81"/>
      <c r="BW35" s="82"/>
      <c r="BX35" s="133">
        <v>12.5</v>
      </c>
      <c r="BY35" s="133">
        <v>30</v>
      </c>
      <c r="BZ35" s="133">
        <v>125</v>
      </c>
      <c r="CA35" s="133">
        <v>40</v>
      </c>
      <c r="CB35" s="133" t="s">
        <v>94</v>
      </c>
      <c r="CC35" s="57" t="s">
        <v>60</v>
      </c>
      <c r="CD35" s="57">
        <v>-2</v>
      </c>
      <c r="CU35" s="139" t="str">
        <f>CU9&amp;" "&amp;CU14&amp;" "&amp;CU18&amp;" "&amp;CU27</f>
        <v xml:space="preserve">   Warning messages will prompt here if any data is entered that can potentially cause tracking issues. Evaluate with a pro shop professional prior to drilling.</v>
      </c>
      <c r="CV35" s="139"/>
    </row>
    <row r="36" spans="4:147" ht="15.75" thickBot="1" x14ac:dyDescent="0.3">
      <c r="Q36" s="147" t="s">
        <v>736</v>
      </c>
      <c r="R36" s="148"/>
      <c r="S36" s="85">
        <f>S35-MOD(S35,1)</f>
        <v>5</v>
      </c>
      <c r="U36" s="129">
        <v>12.5</v>
      </c>
      <c r="V36" s="130">
        <v>30</v>
      </c>
      <c r="W36" s="130"/>
      <c r="X36" s="130">
        <v>225</v>
      </c>
      <c r="Y36" s="130">
        <v>60</v>
      </c>
      <c r="Z36" s="130"/>
      <c r="AA36" s="63"/>
      <c r="AB36" s="130"/>
      <c r="AC36" s="129">
        <v>15</v>
      </c>
      <c r="AD36" s="64">
        <v>0.15</v>
      </c>
      <c r="AE36" s="130"/>
      <c r="AF36" s="130">
        <v>30</v>
      </c>
      <c r="AG36" s="65">
        <v>0.45</v>
      </c>
      <c r="AH36" s="65"/>
      <c r="AI36" s="65"/>
      <c r="AJ36" s="66"/>
      <c r="AK36" s="67"/>
      <c r="AL36" s="68">
        <v>35</v>
      </c>
      <c r="AM36" s="69">
        <v>1</v>
      </c>
      <c r="AN36" s="69"/>
      <c r="AO36" s="61">
        <v>20</v>
      </c>
      <c r="AP36" s="71">
        <v>0.6</v>
      </c>
      <c r="AQ36" s="71"/>
      <c r="AR36" s="130" t="s">
        <v>45</v>
      </c>
      <c r="AS36" s="69">
        <v>0.6</v>
      </c>
      <c r="AT36" s="69"/>
      <c r="AU36" s="69"/>
      <c r="AV36" s="69"/>
      <c r="AW36" s="72"/>
      <c r="AX36" s="69"/>
      <c r="AY36" s="69"/>
      <c r="BB36" s="68"/>
      <c r="BC36" s="61"/>
      <c r="BD36" s="61"/>
      <c r="BE36" s="61"/>
      <c r="BF36" s="61"/>
      <c r="BG36" s="61"/>
      <c r="BH36" s="61"/>
      <c r="BI36" s="61"/>
      <c r="BJ36" s="61"/>
      <c r="BK36" s="80"/>
      <c r="BM36" s="76">
        <v>2.5099999999999998</v>
      </c>
      <c r="BN36" s="75">
        <v>-0.2</v>
      </c>
      <c r="BO36" s="75"/>
      <c r="BP36" s="77">
        <v>5.0000000000000001E-3</v>
      </c>
      <c r="BQ36" s="75">
        <v>0.875</v>
      </c>
      <c r="BR36" s="75"/>
      <c r="BS36" s="77">
        <v>5.0000000000000001E-3</v>
      </c>
      <c r="BT36" s="75">
        <v>0.3</v>
      </c>
      <c r="BU36" s="77"/>
      <c r="BV36" s="81"/>
      <c r="BW36" s="82"/>
      <c r="BX36" s="133">
        <v>13</v>
      </c>
      <c r="BY36" s="133">
        <v>35</v>
      </c>
      <c r="BZ36" s="133">
        <v>125</v>
      </c>
      <c r="CA36" s="133">
        <v>40</v>
      </c>
      <c r="CB36" s="133" t="s">
        <v>95</v>
      </c>
      <c r="CC36" s="57" t="s">
        <v>60</v>
      </c>
      <c r="CD36" s="57">
        <v>-1</v>
      </c>
    </row>
    <row r="37" spans="4:147" x14ac:dyDescent="0.25">
      <c r="Q37" s="147" t="s">
        <v>746</v>
      </c>
      <c r="R37" s="148"/>
      <c r="S37" s="62">
        <f>VLOOKUP(Q51,Q42:R50,2,FALSE)</f>
        <v>0</v>
      </c>
      <c r="U37" s="129">
        <v>13</v>
      </c>
      <c r="V37" s="130">
        <v>35</v>
      </c>
      <c r="W37" s="130"/>
      <c r="X37" s="130">
        <v>250</v>
      </c>
      <c r="Y37" s="130">
        <v>65</v>
      </c>
      <c r="Z37" s="130"/>
      <c r="AA37" s="63"/>
      <c r="AB37" s="130"/>
      <c r="AC37" s="129">
        <v>18</v>
      </c>
      <c r="AD37" s="64">
        <v>0</v>
      </c>
      <c r="AE37" s="130"/>
      <c r="AF37" s="130">
        <v>35</v>
      </c>
      <c r="AG37" s="65">
        <v>0.3</v>
      </c>
      <c r="AH37" s="65"/>
      <c r="AI37" s="65"/>
      <c r="AJ37" s="66"/>
      <c r="AK37" s="67"/>
      <c r="AL37" s="68">
        <v>36</v>
      </c>
      <c r="AM37" s="70">
        <v>0.8</v>
      </c>
      <c r="AN37" s="70"/>
      <c r="AO37" s="61">
        <v>21</v>
      </c>
      <c r="AP37" s="71">
        <v>0.45</v>
      </c>
      <c r="AQ37" s="71"/>
      <c r="AR37" s="130" t="s">
        <v>50</v>
      </c>
      <c r="AS37" s="69">
        <v>0.9</v>
      </c>
      <c r="AT37" s="69"/>
      <c r="AU37" s="69"/>
      <c r="AV37" s="69"/>
      <c r="AW37" s="72"/>
      <c r="AX37" s="69"/>
      <c r="AY37" s="86" t="s">
        <v>18</v>
      </c>
      <c r="AZ37" s="137" t="s">
        <v>739</v>
      </c>
      <c r="BB37" s="68"/>
      <c r="BC37" s="61"/>
      <c r="BD37" s="61"/>
      <c r="BE37" s="61"/>
      <c r="BF37" s="61" t="s">
        <v>762</v>
      </c>
      <c r="BG37" s="61"/>
      <c r="BH37" s="61"/>
      <c r="BI37" s="61"/>
      <c r="BJ37" s="61"/>
      <c r="BK37" s="80"/>
      <c r="BM37" s="76">
        <v>2.52</v>
      </c>
      <c r="BN37" s="75">
        <v>-0.1</v>
      </c>
      <c r="BO37" s="75"/>
      <c r="BP37" s="77">
        <v>6.0000000000000001E-3</v>
      </c>
      <c r="BQ37" s="75">
        <v>0.85</v>
      </c>
      <c r="BR37" s="75"/>
      <c r="BS37" s="77">
        <v>6.0000000000000001E-3</v>
      </c>
      <c r="BT37" s="75">
        <v>0.27</v>
      </c>
      <c r="BU37" s="77"/>
      <c r="BV37" s="81"/>
      <c r="BW37" s="82"/>
      <c r="BX37" s="133">
        <v>13.5</v>
      </c>
      <c r="BY37" s="133">
        <v>40</v>
      </c>
      <c r="BZ37" s="133">
        <v>125</v>
      </c>
      <c r="CA37" s="133">
        <v>40</v>
      </c>
      <c r="CB37" s="133" t="s">
        <v>96</v>
      </c>
      <c r="CC37" s="57" t="s">
        <v>54</v>
      </c>
      <c r="CD37" s="57">
        <v>0</v>
      </c>
    </row>
    <row r="38" spans="4:147" x14ac:dyDescent="0.25">
      <c r="P38" s="127"/>
      <c r="Q38" s="147" t="s">
        <v>737</v>
      </c>
      <c r="R38" s="148"/>
      <c r="S38" s="87">
        <f>(S36+S37)</f>
        <v>5</v>
      </c>
      <c r="U38" s="129">
        <v>13.5</v>
      </c>
      <c r="V38" s="130">
        <v>40</v>
      </c>
      <c r="W38" s="130"/>
      <c r="X38" s="130">
        <v>275</v>
      </c>
      <c r="Y38" s="130">
        <v>70</v>
      </c>
      <c r="Z38" s="130"/>
      <c r="AA38" s="63"/>
      <c r="AB38" s="130"/>
      <c r="AC38" s="129">
        <v>21</v>
      </c>
      <c r="AD38" s="64">
        <v>-0.15</v>
      </c>
      <c r="AE38" s="130"/>
      <c r="AF38" s="130">
        <v>40</v>
      </c>
      <c r="AG38" s="65">
        <v>0.15</v>
      </c>
      <c r="AH38" s="65"/>
      <c r="AI38" s="65"/>
      <c r="AJ38" s="66"/>
      <c r="AK38" s="67"/>
      <c r="AL38" s="68">
        <v>37</v>
      </c>
      <c r="AM38" s="69">
        <v>0.6</v>
      </c>
      <c r="AN38" s="69"/>
      <c r="AO38" s="61">
        <v>22</v>
      </c>
      <c r="AP38" s="71">
        <v>0.3</v>
      </c>
      <c r="AQ38" s="71"/>
      <c r="AR38" s="61"/>
      <c r="AS38" s="61"/>
      <c r="AT38" s="61"/>
      <c r="AU38" s="61"/>
      <c r="AV38" s="61"/>
      <c r="AW38" s="80"/>
      <c r="AX38" s="61"/>
      <c r="AY38" s="73" t="s">
        <v>715</v>
      </c>
      <c r="AZ38" s="88">
        <f>6.75-(3.375*AZ31)</f>
        <v>6.4124999999999996</v>
      </c>
      <c r="BB38" s="147" t="s">
        <v>727</v>
      </c>
      <c r="BC38" s="148"/>
      <c r="BD38" s="148"/>
      <c r="BE38" s="61"/>
      <c r="BF38" s="61"/>
      <c r="BG38" s="61"/>
      <c r="BH38" s="61"/>
      <c r="BI38" s="61"/>
      <c r="BJ38" s="61"/>
      <c r="BK38" s="80"/>
      <c r="BM38" s="76">
        <v>2.5299999999999998</v>
      </c>
      <c r="BN38" s="75">
        <v>0</v>
      </c>
      <c r="BO38" s="75"/>
      <c r="BP38" s="77">
        <v>7.0000000000000001E-3</v>
      </c>
      <c r="BQ38" s="75">
        <v>0.82499999999999996</v>
      </c>
      <c r="BR38" s="75"/>
      <c r="BS38" s="77">
        <v>7.0000000000000001E-3</v>
      </c>
      <c r="BT38" s="75">
        <v>0.24</v>
      </c>
      <c r="BU38" s="77"/>
      <c r="BV38" s="81"/>
      <c r="BW38" s="82"/>
      <c r="BX38" s="133">
        <v>14</v>
      </c>
      <c r="BY38" s="133">
        <v>45</v>
      </c>
      <c r="BZ38" s="133">
        <v>125</v>
      </c>
      <c r="CA38" s="133">
        <v>40</v>
      </c>
      <c r="CB38" s="133" t="s">
        <v>97</v>
      </c>
      <c r="CC38" s="57" t="s">
        <v>55</v>
      </c>
      <c r="CD38" s="57">
        <v>1</v>
      </c>
    </row>
    <row r="39" spans="4:147" x14ac:dyDescent="0.25">
      <c r="F39" s="52"/>
      <c r="Q39" s="147" t="s">
        <v>983</v>
      </c>
      <c r="R39" s="148"/>
      <c r="S39" s="87">
        <f>IF(E15="","#N/A",IF(G20="","#N/A",IF(G21="","#N/A",S38)))</f>
        <v>5</v>
      </c>
      <c r="U39" s="129">
        <v>14</v>
      </c>
      <c r="V39" s="130">
        <v>45</v>
      </c>
      <c r="W39" s="130"/>
      <c r="X39" s="130">
        <v>300</v>
      </c>
      <c r="Y39" s="130">
        <v>75</v>
      </c>
      <c r="Z39" s="130"/>
      <c r="AA39" s="63"/>
      <c r="AB39" s="130"/>
      <c r="AC39" s="129">
        <v>24</v>
      </c>
      <c r="AD39" s="64">
        <v>-0.3</v>
      </c>
      <c r="AE39" s="130"/>
      <c r="AF39" s="130">
        <v>45</v>
      </c>
      <c r="AG39" s="65">
        <v>0</v>
      </c>
      <c r="AH39" s="65"/>
      <c r="AI39" s="65"/>
      <c r="AJ39" s="66"/>
      <c r="AK39" s="67"/>
      <c r="AL39" s="68">
        <v>38</v>
      </c>
      <c r="AM39" s="70">
        <v>0.4</v>
      </c>
      <c r="AN39" s="70"/>
      <c r="AO39" s="61">
        <v>23</v>
      </c>
      <c r="AP39" s="71">
        <v>0.15</v>
      </c>
      <c r="AQ39" s="71"/>
      <c r="AR39" s="61"/>
      <c r="AS39" s="61"/>
      <c r="AT39" s="61"/>
      <c r="AU39" s="61"/>
      <c r="AV39" s="61"/>
      <c r="AW39" s="80"/>
      <c r="AX39" s="61"/>
      <c r="AY39" s="73" t="s">
        <v>711</v>
      </c>
      <c r="AZ39" s="88">
        <f t="shared" ref="AZ39:AZ42" si="0">6.75-(3.375*AZ32)</f>
        <v>5.7374999999999998</v>
      </c>
      <c r="BB39" s="147" t="s">
        <v>780</v>
      </c>
      <c r="BC39" s="148"/>
      <c r="BD39" s="64">
        <f>VLOOKUP(G15,BB31:BC33,2,FALSE)</f>
        <v>0</v>
      </c>
      <c r="BE39" s="61"/>
      <c r="BF39" s="61"/>
      <c r="BG39" s="61"/>
      <c r="BH39" s="61"/>
      <c r="BI39" s="61"/>
      <c r="BJ39" s="61"/>
      <c r="BK39" s="80"/>
      <c r="BM39" s="76">
        <v>2.54</v>
      </c>
      <c r="BN39" s="75">
        <v>0.1</v>
      </c>
      <c r="BO39" s="75"/>
      <c r="BP39" s="77">
        <v>8.0000000000000002E-3</v>
      </c>
      <c r="BQ39" s="75">
        <v>0.8</v>
      </c>
      <c r="BR39" s="75"/>
      <c r="BS39" s="77">
        <v>8.0000000000000002E-3</v>
      </c>
      <c r="BT39" s="75">
        <v>0.21</v>
      </c>
      <c r="BU39" s="77"/>
      <c r="BV39" s="81"/>
      <c r="BW39" s="82"/>
      <c r="BX39" s="133">
        <v>14.5</v>
      </c>
      <c r="BY39" s="133">
        <v>50</v>
      </c>
      <c r="BZ39" s="133">
        <v>125</v>
      </c>
      <c r="CA39" s="133">
        <v>40</v>
      </c>
      <c r="CB39" s="133" t="s">
        <v>98</v>
      </c>
      <c r="CC39" s="57" t="s">
        <v>55</v>
      </c>
      <c r="CD39" s="57">
        <v>2</v>
      </c>
    </row>
    <row r="40" spans="4:147" ht="15.75" thickBot="1" x14ac:dyDescent="0.3">
      <c r="Q40" s="184" t="s">
        <v>987</v>
      </c>
      <c r="R40" s="149"/>
      <c r="S40" s="89">
        <f>IF(G20/2&lt;G21,"#N/A",S39)</f>
        <v>5</v>
      </c>
      <c r="U40" s="129">
        <v>14.5</v>
      </c>
      <c r="V40" s="130">
        <v>50</v>
      </c>
      <c r="W40" s="130"/>
      <c r="X40" s="130">
        <v>325</v>
      </c>
      <c r="Y40" s="130">
        <v>80</v>
      </c>
      <c r="Z40" s="130"/>
      <c r="AA40" s="63"/>
      <c r="AB40" s="130"/>
      <c r="AC40" s="129">
        <v>27</v>
      </c>
      <c r="AD40" s="64">
        <v>-0.45</v>
      </c>
      <c r="AE40" s="130"/>
      <c r="AF40" s="130">
        <v>50</v>
      </c>
      <c r="AG40" s="65">
        <v>-0.15</v>
      </c>
      <c r="AH40" s="65"/>
      <c r="AI40" s="65"/>
      <c r="AJ40" s="66"/>
      <c r="AK40" s="67"/>
      <c r="AL40" s="68">
        <v>39</v>
      </c>
      <c r="AM40" s="69">
        <v>0.2</v>
      </c>
      <c r="AN40" s="69"/>
      <c r="AO40" s="61">
        <v>24</v>
      </c>
      <c r="AP40" s="71">
        <v>0</v>
      </c>
      <c r="AQ40" s="71"/>
      <c r="AR40" s="61"/>
      <c r="AS40" s="61"/>
      <c r="AT40" s="61"/>
      <c r="AU40" s="61"/>
      <c r="AV40" s="61"/>
      <c r="AW40" s="80"/>
      <c r="AX40" s="61"/>
      <c r="AY40" s="73" t="s">
        <v>19</v>
      </c>
      <c r="AZ40" s="88">
        <f t="shared" si="0"/>
        <v>5.0625</v>
      </c>
      <c r="BB40" s="147" t="s">
        <v>781</v>
      </c>
      <c r="BC40" s="148"/>
      <c r="BD40" s="64">
        <f>VLOOKUP(G16,BD31:BE35,2,FALSE)</f>
        <v>0</v>
      </c>
      <c r="BE40" s="61"/>
      <c r="BF40" s="61"/>
      <c r="BG40" s="61"/>
      <c r="BH40" s="61"/>
      <c r="BI40" s="61"/>
      <c r="BJ40" s="61"/>
      <c r="BK40" s="80"/>
      <c r="BM40" s="76">
        <v>2.5499999999999998</v>
      </c>
      <c r="BN40" s="75">
        <v>0.2</v>
      </c>
      <c r="BO40" s="75"/>
      <c r="BP40" s="77">
        <v>8.9999999999999993E-3</v>
      </c>
      <c r="BQ40" s="75">
        <v>0.77500000000000002</v>
      </c>
      <c r="BR40" s="75"/>
      <c r="BS40" s="77">
        <v>8.9999999999999993E-3</v>
      </c>
      <c r="BT40" s="75">
        <v>0.18</v>
      </c>
      <c r="BU40" s="77"/>
      <c r="BV40" s="81"/>
      <c r="BW40" s="82"/>
      <c r="BX40" s="133">
        <v>15</v>
      </c>
      <c r="BY40" s="133">
        <v>55</v>
      </c>
      <c r="BZ40" s="133">
        <v>125</v>
      </c>
      <c r="CA40" s="133">
        <v>40</v>
      </c>
      <c r="CB40" s="133" t="s">
        <v>99</v>
      </c>
      <c r="CC40" s="57" t="s">
        <v>55</v>
      </c>
      <c r="CD40" s="57">
        <v>3</v>
      </c>
      <c r="CI40" s="57" t="s">
        <v>865</v>
      </c>
      <c r="CJ40" s="57" t="s">
        <v>866</v>
      </c>
      <c r="CK40" s="57" t="s">
        <v>867</v>
      </c>
      <c r="CL40" s="57" t="s">
        <v>924</v>
      </c>
      <c r="CM40" s="57" t="s">
        <v>923</v>
      </c>
      <c r="CN40" s="57" t="s">
        <v>922</v>
      </c>
      <c r="CO40" s="57" t="s">
        <v>921</v>
      </c>
      <c r="CP40" s="57" t="s">
        <v>920</v>
      </c>
      <c r="CQ40" s="57" t="s">
        <v>919</v>
      </c>
      <c r="CR40" s="57" t="s">
        <v>918</v>
      </c>
      <c r="CS40" s="57" t="s">
        <v>917</v>
      </c>
      <c r="CT40" s="57" t="s">
        <v>916</v>
      </c>
      <c r="CU40" s="57" t="s">
        <v>915</v>
      </c>
      <c r="CV40" s="57" t="s">
        <v>914</v>
      </c>
      <c r="CW40" s="57" t="s">
        <v>913</v>
      </c>
      <c r="CX40" s="57" t="s">
        <v>912</v>
      </c>
      <c r="CY40" s="57" t="s">
        <v>911</v>
      </c>
      <c r="CZ40" s="57" t="s">
        <v>910</v>
      </c>
      <c r="DA40" s="57" t="s">
        <v>909</v>
      </c>
      <c r="DB40" s="57" t="s">
        <v>908</v>
      </c>
      <c r="DC40" s="57" t="s">
        <v>907</v>
      </c>
      <c r="DD40" s="57" t="s">
        <v>906</v>
      </c>
      <c r="DE40" s="57" t="s">
        <v>905</v>
      </c>
      <c r="DF40" s="57" t="s">
        <v>904</v>
      </c>
      <c r="DG40" s="57" t="s">
        <v>903</v>
      </c>
      <c r="DH40" s="57" t="s">
        <v>902</v>
      </c>
      <c r="DI40" s="57" t="s">
        <v>901</v>
      </c>
      <c r="DJ40" s="57" t="s">
        <v>900</v>
      </c>
      <c r="DK40" s="57" t="s">
        <v>899</v>
      </c>
      <c r="DL40" s="57" t="s">
        <v>898</v>
      </c>
      <c r="DM40" s="57" t="s">
        <v>897</v>
      </c>
      <c r="DN40" s="57" t="s">
        <v>896</v>
      </c>
      <c r="DO40" s="57" t="s">
        <v>895</v>
      </c>
      <c r="DP40" s="57" t="s">
        <v>894</v>
      </c>
      <c r="DQ40" s="57" t="s">
        <v>893</v>
      </c>
      <c r="DR40" s="57" t="s">
        <v>892</v>
      </c>
      <c r="DS40" s="57" t="s">
        <v>891</v>
      </c>
      <c r="DT40" s="57" t="s">
        <v>890</v>
      </c>
      <c r="DU40" s="57" t="s">
        <v>889</v>
      </c>
      <c r="DV40" s="57" t="s">
        <v>888</v>
      </c>
      <c r="DW40" s="57" t="s">
        <v>887</v>
      </c>
      <c r="DX40" s="57" t="s">
        <v>886</v>
      </c>
      <c r="DY40" s="57" t="s">
        <v>885</v>
      </c>
      <c r="DZ40" s="57" t="s">
        <v>884</v>
      </c>
      <c r="EA40" s="57" t="s">
        <v>883</v>
      </c>
      <c r="EB40" s="57" t="s">
        <v>882</v>
      </c>
      <c r="EC40" s="57" t="s">
        <v>881</v>
      </c>
      <c r="ED40" s="57" t="s">
        <v>880</v>
      </c>
      <c r="EE40" s="57" t="s">
        <v>879</v>
      </c>
      <c r="EF40" s="57" t="s">
        <v>878</v>
      </c>
      <c r="EG40" s="57" t="s">
        <v>877</v>
      </c>
      <c r="EH40" s="57" t="s">
        <v>876</v>
      </c>
      <c r="EI40" s="57" t="s">
        <v>875</v>
      </c>
      <c r="EJ40" s="57" t="s">
        <v>874</v>
      </c>
      <c r="EK40" s="57" t="s">
        <v>873</v>
      </c>
      <c r="EL40" s="57" t="s">
        <v>872</v>
      </c>
      <c r="EM40" s="57" t="s">
        <v>871</v>
      </c>
      <c r="EN40" s="57" t="s">
        <v>870</v>
      </c>
      <c r="EO40" s="57" t="s">
        <v>925</v>
      </c>
      <c r="EP40" s="57" t="s">
        <v>869</v>
      </c>
      <c r="EQ40" s="57" t="s">
        <v>868</v>
      </c>
    </row>
    <row r="41" spans="4:147" x14ac:dyDescent="0.25">
      <c r="Q41" s="183" t="s">
        <v>769</v>
      </c>
      <c r="R41" s="183"/>
      <c r="S41" s="183"/>
      <c r="U41" s="129">
        <v>15</v>
      </c>
      <c r="V41" s="130">
        <v>55</v>
      </c>
      <c r="W41" s="130"/>
      <c r="X41" s="130">
        <v>350</v>
      </c>
      <c r="Y41" s="130">
        <v>85</v>
      </c>
      <c r="Z41" s="130"/>
      <c r="AA41" s="63"/>
      <c r="AB41" s="130"/>
      <c r="AC41" s="129">
        <v>30</v>
      </c>
      <c r="AD41" s="64">
        <v>-0.6</v>
      </c>
      <c r="AE41" s="130"/>
      <c r="AF41" s="130">
        <v>55</v>
      </c>
      <c r="AG41" s="65">
        <v>-0.3</v>
      </c>
      <c r="AH41" s="65"/>
      <c r="AI41" s="65"/>
      <c r="AJ41" s="66"/>
      <c r="AK41" s="67"/>
      <c r="AL41" s="68">
        <v>40</v>
      </c>
      <c r="AM41" s="70">
        <v>0</v>
      </c>
      <c r="AN41" s="70"/>
      <c r="AO41" s="61">
        <v>25</v>
      </c>
      <c r="AP41" s="71">
        <v>-0.15</v>
      </c>
      <c r="AQ41" s="71"/>
      <c r="AR41" s="61"/>
      <c r="AS41" s="61"/>
      <c r="AT41" s="61"/>
      <c r="AU41" s="61"/>
      <c r="AV41" s="61"/>
      <c r="AW41" s="80"/>
      <c r="AX41" s="61"/>
      <c r="AY41" s="73" t="s">
        <v>5</v>
      </c>
      <c r="AZ41" s="88">
        <f t="shared" si="0"/>
        <v>4.3875000000000002</v>
      </c>
      <c r="BB41" s="147" t="s">
        <v>728</v>
      </c>
      <c r="BC41" s="148"/>
      <c r="BD41" s="64">
        <f>((BD39*0.5)+(BD40*0.5))</f>
        <v>0</v>
      </c>
      <c r="BE41" s="61"/>
      <c r="BF41" s="61"/>
      <c r="BG41" s="61"/>
      <c r="BH41" s="61"/>
      <c r="BI41" s="61"/>
      <c r="BJ41" s="61"/>
      <c r="BK41" s="80"/>
      <c r="BM41" s="76">
        <v>2.56</v>
      </c>
      <c r="BN41" s="75">
        <v>0.3</v>
      </c>
      <c r="BO41" s="75"/>
      <c r="BP41" s="77">
        <v>0.01</v>
      </c>
      <c r="BQ41" s="75">
        <v>0.75</v>
      </c>
      <c r="BR41" s="75"/>
      <c r="BS41" s="77">
        <v>0.01</v>
      </c>
      <c r="BT41" s="75">
        <v>0.15</v>
      </c>
      <c r="BU41" s="77"/>
      <c r="BV41" s="81"/>
      <c r="BW41" s="82"/>
      <c r="BX41" s="133">
        <v>15.5</v>
      </c>
      <c r="BY41" s="133">
        <v>60</v>
      </c>
      <c r="BZ41" s="133">
        <v>125</v>
      </c>
      <c r="CA41" s="133">
        <v>40</v>
      </c>
      <c r="CB41" s="133" t="s">
        <v>100</v>
      </c>
      <c r="CC41" s="57" t="s">
        <v>56</v>
      </c>
      <c r="CD41" s="57">
        <v>4</v>
      </c>
      <c r="CI41" s="57" t="s">
        <v>854</v>
      </c>
      <c r="CJ41" s="57" t="s">
        <v>855</v>
      </c>
      <c r="CK41" s="57" t="s">
        <v>856</v>
      </c>
      <c r="CL41" s="57" t="s">
        <v>857</v>
      </c>
      <c r="CM41" s="57" t="s">
        <v>858</v>
      </c>
      <c r="CN41" s="57" t="s">
        <v>859</v>
      </c>
      <c r="CO41" s="57" t="s">
        <v>860</v>
      </c>
      <c r="CP41" s="57" t="s">
        <v>861</v>
      </c>
      <c r="CQ41" s="57" t="s">
        <v>862</v>
      </c>
      <c r="CR41" s="57" t="s">
        <v>863</v>
      </c>
      <c r="CS41" s="57" t="s">
        <v>864</v>
      </c>
      <c r="CT41" s="57" t="s">
        <v>926</v>
      </c>
      <c r="CU41" s="57" t="s">
        <v>927</v>
      </c>
      <c r="CV41" s="57" t="s">
        <v>928</v>
      </c>
      <c r="CW41" s="57" t="s">
        <v>929</v>
      </c>
      <c r="CX41" s="57" t="s">
        <v>930</v>
      </c>
      <c r="CY41" s="57" t="s">
        <v>931</v>
      </c>
      <c r="CZ41" s="57" t="s">
        <v>932</v>
      </c>
      <c r="DA41" s="57" t="s">
        <v>933</v>
      </c>
      <c r="DB41" s="57" t="s">
        <v>934</v>
      </c>
      <c r="DC41" s="57" t="s">
        <v>935</v>
      </c>
      <c r="DD41" s="57" t="s">
        <v>936</v>
      </c>
      <c r="DE41" s="57" t="s">
        <v>937</v>
      </c>
      <c r="DF41" s="57" t="s">
        <v>938</v>
      </c>
      <c r="DG41" s="57" t="s">
        <v>939</v>
      </c>
      <c r="DH41" s="57" t="s">
        <v>940</v>
      </c>
      <c r="DI41" s="57" t="s">
        <v>941</v>
      </c>
      <c r="DJ41" s="57" t="s">
        <v>942</v>
      </c>
      <c r="DK41" s="57" t="s">
        <v>943</v>
      </c>
      <c r="DL41" s="57" t="s">
        <v>944</v>
      </c>
      <c r="DM41" s="57" t="s">
        <v>945</v>
      </c>
      <c r="DN41" s="57" t="s">
        <v>946</v>
      </c>
      <c r="DO41" s="57" t="s">
        <v>947</v>
      </c>
      <c r="DP41" s="57" t="s">
        <v>948</v>
      </c>
      <c r="DQ41" s="57" t="s">
        <v>949</v>
      </c>
      <c r="DR41" s="57" t="s">
        <v>950</v>
      </c>
      <c r="DS41" s="57" t="s">
        <v>951</v>
      </c>
      <c r="DT41" s="57" t="s">
        <v>952</v>
      </c>
      <c r="DU41" s="57" t="s">
        <v>953</v>
      </c>
      <c r="DV41" s="57" t="s">
        <v>954</v>
      </c>
      <c r="DW41" s="57" t="s">
        <v>955</v>
      </c>
      <c r="DX41" s="57" t="s">
        <v>956</v>
      </c>
      <c r="DY41" s="57" t="s">
        <v>957</v>
      </c>
      <c r="DZ41" s="57" t="s">
        <v>958</v>
      </c>
      <c r="EA41" s="57" t="s">
        <v>959</v>
      </c>
      <c r="EB41" s="57" t="s">
        <v>960</v>
      </c>
      <c r="EC41" s="57" t="s">
        <v>961</v>
      </c>
      <c r="ED41" s="57" t="s">
        <v>962</v>
      </c>
      <c r="EE41" s="57" t="s">
        <v>963</v>
      </c>
      <c r="EF41" s="57" t="s">
        <v>964</v>
      </c>
      <c r="EG41" s="57" t="s">
        <v>965</v>
      </c>
      <c r="EH41" s="57" t="s">
        <v>966</v>
      </c>
      <c r="EI41" s="57" t="s">
        <v>967</v>
      </c>
      <c r="EJ41" s="57" t="s">
        <v>968</v>
      </c>
      <c r="EK41" s="57" t="s">
        <v>969</v>
      </c>
      <c r="EL41" s="57" t="s">
        <v>970</v>
      </c>
      <c r="EM41" s="57" t="s">
        <v>971</v>
      </c>
      <c r="EN41" s="57" t="s">
        <v>972</v>
      </c>
      <c r="EO41" s="57" t="s">
        <v>973</v>
      </c>
      <c r="EP41" s="57" t="s">
        <v>974</v>
      </c>
      <c r="EQ41" s="82" t="s">
        <v>975</v>
      </c>
    </row>
    <row r="42" spans="4:147" ht="15.75" thickBot="1" x14ac:dyDescent="0.3">
      <c r="Q42" s="138">
        <f t="shared" ref="Q42:Q50" si="1">ABS(S42-R42)</f>
        <v>4.9843749999999964E-2</v>
      </c>
      <c r="R42" s="138">
        <v>0</v>
      </c>
      <c r="S42" s="138">
        <f>MOD($S$35,1)</f>
        <v>4.9843749999999964E-2</v>
      </c>
      <c r="T42" s="61"/>
      <c r="U42" s="129">
        <v>15.5</v>
      </c>
      <c r="V42" s="130">
        <v>60</v>
      </c>
      <c r="W42" s="130"/>
      <c r="X42" s="130">
        <v>375</v>
      </c>
      <c r="Y42" s="130">
        <v>90</v>
      </c>
      <c r="Z42" s="130"/>
      <c r="AA42" s="63"/>
      <c r="AB42" s="130"/>
      <c r="AC42" s="129">
        <v>33</v>
      </c>
      <c r="AD42" s="64">
        <v>-0.75</v>
      </c>
      <c r="AE42" s="130"/>
      <c r="AF42" s="130">
        <v>60</v>
      </c>
      <c r="AG42" s="65">
        <v>-0.45</v>
      </c>
      <c r="AH42" s="65"/>
      <c r="AI42" s="65"/>
      <c r="AJ42" s="66"/>
      <c r="AK42" s="67"/>
      <c r="AL42" s="68">
        <v>41</v>
      </c>
      <c r="AM42" s="69">
        <v>-0.2</v>
      </c>
      <c r="AN42" s="69"/>
      <c r="AO42" s="61">
        <v>26</v>
      </c>
      <c r="AP42" s="71">
        <v>-0.3</v>
      </c>
      <c r="AQ42" s="71"/>
      <c r="AR42" s="61"/>
      <c r="AS42" s="61"/>
      <c r="AT42" s="61"/>
      <c r="AU42" s="61"/>
      <c r="AV42" s="61"/>
      <c r="AW42" s="80"/>
      <c r="AX42" s="61"/>
      <c r="AY42" s="83" t="s">
        <v>716</v>
      </c>
      <c r="AZ42" s="90">
        <f t="shared" si="0"/>
        <v>3.7124999999999999</v>
      </c>
      <c r="BB42" s="147" t="s">
        <v>712</v>
      </c>
      <c r="BC42" s="148"/>
      <c r="BD42" s="64">
        <f>VLOOKUP(G14,AY31:AZ35,2,FALSE)</f>
        <v>0.5</v>
      </c>
      <c r="BE42" s="61"/>
      <c r="BF42" s="61"/>
      <c r="BG42" s="61"/>
      <c r="BH42" s="61"/>
      <c r="BI42" s="61"/>
      <c r="BJ42" s="61"/>
      <c r="BK42" s="80"/>
      <c r="BM42" s="76">
        <v>2.57</v>
      </c>
      <c r="BN42" s="75">
        <v>0.4</v>
      </c>
      <c r="BO42" s="75"/>
      <c r="BP42" s="77">
        <v>1.0999999999999999E-2</v>
      </c>
      <c r="BQ42" s="75">
        <v>0.72499999999999998</v>
      </c>
      <c r="BR42" s="75"/>
      <c r="BS42" s="77">
        <v>1.0999999999999999E-2</v>
      </c>
      <c r="BT42" s="75">
        <v>0.12</v>
      </c>
      <c r="BU42" s="77"/>
      <c r="BV42" s="81"/>
      <c r="BW42" s="82"/>
      <c r="BX42" s="133">
        <v>16</v>
      </c>
      <c r="BY42" s="133">
        <v>65</v>
      </c>
      <c r="BZ42" s="133">
        <v>125</v>
      </c>
      <c r="CA42" s="133">
        <v>40</v>
      </c>
      <c r="CB42" s="133" t="s">
        <v>101</v>
      </c>
      <c r="CC42" s="57" t="s">
        <v>56</v>
      </c>
      <c r="CD42" s="57">
        <v>5</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82">
        <v>0</v>
      </c>
      <c r="DS42" s="82">
        <v>0</v>
      </c>
      <c r="DT42" s="82">
        <v>0</v>
      </c>
      <c r="DU42" s="82">
        <v>0</v>
      </c>
      <c r="DV42" s="82">
        <v>0</v>
      </c>
      <c r="DW42" s="82">
        <v>0</v>
      </c>
      <c r="DX42" s="82">
        <v>0</v>
      </c>
      <c r="DY42" s="82">
        <v>0</v>
      </c>
      <c r="DZ42" s="82">
        <v>0</v>
      </c>
      <c r="EA42" s="82">
        <v>0</v>
      </c>
      <c r="EB42" s="82">
        <v>0</v>
      </c>
      <c r="EC42" s="82">
        <v>0</v>
      </c>
      <c r="ED42" s="82">
        <v>0</v>
      </c>
      <c r="EE42" s="82">
        <v>0</v>
      </c>
      <c r="EF42" s="82">
        <v>0</v>
      </c>
      <c r="EG42" s="82">
        <v>0</v>
      </c>
      <c r="EH42" s="82">
        <v>0</v>
      </c>
      <c r="EI42" s="82">
        <v>0</v>
      </c>
      <c r="EJ42" s="82">
        <v>0</v>
      </c>
      <c r="EK42" s="82">
        <v>0</v>
      </c>
      <c r="EL42" s="82">
        <v>0</v>
      </c>
      <c r="EM42" s="82">
        <v>0</v>
      </c>
      <c r="EN42" s="82">
        <v>0</v>
      </c>
      <c r="EO42" s="82">
        <v>0</v>
      </c>
      <c r="EP42" s="82">
        <v>0</v>
      </c>
      <c r="EQ42" s="82">
        <v>0</v>
      </c>
    </row>
    <row r="43" spans="4:147" x14ac:dyDescent="0.25">
      <c r="Q43" s="138">
        <f t="shared" si="1"/>
        <v>7.5156250000000036E-2</v>
      </c>
      <c r="R43" s="133">
        <v>0.125</v>
      </c>
      <c r="S43" s="138">
        <f t="shared" ref="S43:S50" si="2">MOD($S$35,1)</f>
        <v>4.9843749999999964E-2</v>
      </c>
      <c r="T43" s="61"/>
      <c r="U43" s="129">
        <v>16</v>
      </c>
      <c r="V43" s="130">
        <v>65</v>
      </c>
      <c r="W43" s="130"/>
      <c r="X43" s="130">
        <v>400</v>
      </c>
      <c r="Y43" s="130">
        <v>95</v>
      </c>
      <c r="Z43" s="130"/>
      <c r="AA43" s="63"/>
      <c r="AB43" s="130"/>
      <c r="AC43" s="129">
        <v>36</v>
      </c>
      <c r="AD43" s="64">
        <v>-0.9</v>
      </c>
      <c r="AE43" s="130"/>
      <c r="AF43" s="130">
        <v>65</v>
      </c>
      <c r="AG43" s="65">
        <v>-0.6</v>
      </c>
      <c r="AH43" s="65"/>
      <c r="AI43" s="65"/>
      <c r="AJ43" s="66"/>
      <c r="AK43" s="67"/>
      <c r="AL43" s="68">
        <v>42</v>
      </c>
      <c r="AM43" s="70">
        <v>-0.4</v>
      </c>
      <c r="AN43" s="70"/>
      <c r="AO43" s="61">
        <v>27</v>
      </c>
      <c r="AP43" s="71">
        <v>-0.45</v>
      </c>
      <c r="AQ43" s="71"/>
      <c r="AR43" s="148" t="s">
        <v>709</v>
      </c>
      <c r="AS43" s="148"/>
      <c r="AT43" s="130"/>
      <c r="AU43" s="130"/>
      <c r="AV43" s="130"/>
      <c r="AW43" s="63"/>
      <c r="AX43" s="130"/>
      <c r="AY43" s="69"/>
      <c r="BB43" s="147" t="s">
        <v>713</v>
      </c>
      <c r="BC43" s="148"/>
      <c r="BD43" s="130">
        <f>6.75-(BD42*3.375)</f>
        <v>5.0625</v>
      </c>
      <c r="BE43" s="61"/>
      <c r="BF43" s="61"/>
      <c r="BG43" s="61"/>
      <c r="BH43" s="61"/>
      <c r="BI43" s="61"/>
      <c r="BJ43" s="61"/>
      <c r="BK43" s="80"/>
      <c r="BM43" s="76">
        <v>2.58</v>
      </c>
      <c r="BN43" s="75">
        <v>0.5</v>
      </c>
      <c r="BO43" s="75"/>
      <c r="BP43" s="77">
        <v>1.2E-2</v>
      </c>
      <c r="BQ43" s="75">
        <v>0.7</v>
      </c>
      <c r="BR43" s="75"/>
      <c r="BS43" s="77">
        <v>1.2E-2</v>
      </c>
      <c r="BT43" s="75">
        <v>0.09</v>
      </c>
      <c r="BU43" s="77"/>
      <c r="BV43" s="81"/>
      <c r="BW43" s="82"/>
      <c r="BX43" s="133">
        <v>16.5</v>
      </c>
      <c r="BY43" s="133">
        <v>70</v>
      </c>
      <c r="BZ43" s="133">
        <v>125</v>
      </c>
      <c r="CA43" s="133">
        <v>40</v>
      </c>
      <c r="CB43" s="133" t="s">
        <v>102</v>
      </c>
      <c r="CC43" s="57" t="s">
        <v>56</v>
      </c>
      <c r="CD43" s="57">
        <v>6</v>
      </c>
      <c r="CI43" s="82">
        <v>1E-3</v>
      </c>
      <c r="CJ43" s="82">
        <v>1E-3</v>
      </c>
      <c r="CK43" s="82">
        <v>1E-3</v>
      </c>
      <c r="CL43" s="82">
        <v>1E-3</v>
      </c>
      <c r="CM43" s="82">
        <v>1E-3</v>
      </c>
      <c r="CN43" s="82">
        <v>1E-3</v>
      </c>
      <c r="CO43" s="82">
        <v>1E-3</v>
      </c>
      <c r="CP43" s="82">
        <v>1E-3</v>
      </c>
      <c r="CQ43" s="82">
        <v>1E-3</v>
      </c>
      <c r="CR43" s="82">
        <v>1E-3</v>
      </c>
      <c r="CS43" s="82">
        <v>1E-3</v>
      </c>
      <c r="CT43" s="82">
        <v>1E-3</v>
      </c>
      <c r="CU43" s="82">
        <v>1E-3</v>
      </c>
      <c r="CV43" s="82">
        <v>1E-3</v>
      </c>
      <c r="CW43" s="82">
        <v>1E-3</v>
      </c>
      <c r="CX43" s="82">
        <v>1E-3</v>
      </c>
      <c r="CY43" s="82">
        <v>1E-3</v>
      </c>
      <c r="CZ43" s="82">
        <v>1E-3</v>
      </c>
      <c r="DA43" s="82">
        <v>1E-3</v>
      </c>
      <c r="DB43" s="82">
        <v>1E-3</v>
      </c>
      <c r="DC43" s="82">
        <v>1E-3</v>
      </c>
      <c r="DD43" s="82">
        <v>1E-3</v>
      </c>
      <c r="DE43" s="82">
        <v>1E-3</v>
      </c>
      <c r="DF43" s="82">
        <v>1E-3</v>
      </c>
      <c r="DG43" s="82">
        <v>1E-3</v>
      </c>
      <c r="DH43" s="82">
        <v>1E-3</v>
      </c>
      <c r="DI43" s="82">
        <v>1E-3</v>
      </c>
      <c r="DJ43" s="82">
        <v>1E-3</v>
      </c>
      <c r="DK43" s="82">
        <v>1E-3</v>
      </c>
      <c r="DL43" s="82">
        <v>1E-3</v>
      </c>
      <c r="DM43" s="82">
        <v>1E-3</v>
      </c>
      <c r="DN43" s="82">
        <v>1E-3</v>
      </c>
      <c r="DO43" s="82">
        <v>1E-3</v>
      </c>
      <c r="DP43" s="82">
        <v>1E-3</v>
      </c>
      <c r="DQ43" s="82">
        <v>1E-3</v>
      </c>
      <c r="DR43" s="82">
        <v>1E-3</v>
      </c>
      <c r="DS43" s="82">
        <v>1E-3</v>
      </c>
      <c r="DT43" s="82">
        <v>1E-3</v>
      </c>
      <c r="DU43" s="82">
        <v>1E-3</v>
      </c>
      <c r="DV43" s="82">
        <v>1E-3</v>
      </c>
      <c r="DW43" s="82">
        <v>1E-3</v>
      </c>
      <c r="DX43" s="82">
        <v>1E-3</v>
      </c>
      <c r="DY43" s="82">
        <v>1E-3</v>
      </c>
      <c r="DZ43" s="82">
        <v>1E-3</v>
      </c>
      <c r="EA43" s="82">
        <v>1E-3</v>
      </c>
      <c r="EB43" s="82">
        <v>1E-3</v>
      </c>
      <c r="EC43" s="82">
        <v>1E-3</v>
      </c>
      <c r="ED43" s="82">
        <v>1E-3</v>
      </c>
      <c r="EE43" s="82">
        <v>1E-3</v>
      </c>
      <c r="EF43" s="82">
        <v>1E-3</v>
      </c>
      <c r="EG43" s="82">
        <v>1E-3</v>
      </c>
      <c r="EH43" s="82">
        <v>1E-3</v>
      </c>
      <c r="EI43" s="82">
        <v>1E-3</v>
      </c>
      <c r="EJ43" s="82">
        <v>1E-3</v>
      </c>
      <c r="EK43" s="82">
        <v>1E-3</v>
      </c>
      <c r="EL43" s="82">
        <v>1E-3</v>
      </c>
      <c r="EM43" s="82">
        <v>1E-3</v>
      </c>
      <c r="EN43" s="82">
        <v>1E-3</v>
      </c>
      <c r="EO43" s="82">
        <v>1E-3</v>
      </c>
      <c r="EP43" s="82"/>
      <c r="EQ43" s="82"/>
    </row>
    <row r="44" spans="4:147" x14ac:dyDescent="0.25">
      <c r="Q44" s="138">
        <f t="shared" si="1"/>
        <v>0.20015625000000004</v>
      </c>
      <c r="R44" s="138">
        <v>0.25</v>
      </c>
      <c r="S44" s="138">
        <f t="shared" si="2"/>
        <v>4.9843749999999964E-2</v>
      </c>
      <c r="T44" s="61"/>
      <c r="U44" s="129">
        <v>16.5</v>
      </c>
      <c r="V44" s="130">
        <v>70</v>
      </c>
      <c r="W44" s="130"/>
      <c r="X44" s="130">
        <v>425</v>
      </c>
      <c r="Y44" s="130">
        <v>100</v>
      </c>
      <c r="Z44" s="130"/>
      <c r="AA44" s="63"/>
      <c r="AB44" s="130"/>
      <c r="AC44" s="129">
        <v>39</v>
      </c>
      <c r="AD44" s="64">
        <v>-1</v>
      </c>
      <c r="AE44" s="130"/>
      <c r="AF44" s="130">
        <v>70</v>
      </c>
      <c r="AG44" s="65">
        <v>-0.75</v>
      </c>
      <c r="AH44" s="65"/>
      <c r="AI44" s="65"/>
      <c r="AJ44" s="66"/>
      <c r="AK44" s="67"/>
      <c r="AL44" s="68">
        <v>43</v>
      </c>
      <c r="AM44" s="69">
        <v>-0.6</v>
      </c>
      <c r="AN44" s="69"/>
      <c r="AO44" s="61">
        <v>28</v>
      </c>
      <c r="AP44" s="71">
        <v>-0.6</v>
      </c>
      <c r="AQ44" s="71"/>
      <c r="AR44" s="61" t="s">
        <v>724</v>
      </c>
      <c r="AS44" s="91">
        <v>-0.9</v>
      </c>
      <c r="AT44" s="91"/>
      <c r="AU44" s="91"/>
      <c r="AV44" s="91"/>
      <c r="AW44" s="92"/>
      <c r="AX44" s="91"/>
      <c r="AY44" s="69"/>
      <c r="BB44" s="147" t="s">
        <v>714</v>
      </c>
      <c r="BC44" s="148"/>
      <c r="BD44" s="130">
        <f>IF(BD41&lt;0,6.75,3.375)</f>
        <v>3.375</v>
      </c>
      <c r="BE44" s="61"/>
      <c r="BF44" s="61"/>
      <c r="BG44" s="61"/>
      <c r="BH44" s="61"/>
      <c r="BI44" s="61"/>
      <c r="BJ44" s="61"/>
      <c r="BK44" s="80"/>
      <c r="BM44" s="76">
        <v>2.59</v>
      </c>
      <c r="BN44" s="75">
        <v>0.6</v>
      </c>
      <c r="BO44" s="75"/>
      <c r="BP44" s="77">
        <v>1.2999999999999999E-2</v>
      </c>
      <c r="BQ44" s="75">
        <v>0.67500000000000004</v>
      </c>
      <c r="BR44" s="75"/>
      <c r="BS44" s="77">
        <v>1.2999999999999999E-2</v>
      </c>
      <c r="BT44" s="75">
        <v>0.06</v>
      </c>
      <c r="BU44" s="77"/>
      <c r="BV44" s="81"/>
      <c r="BW44" s="82"/>
      <c r="BX44" s="133">
        <v>17</v>
      </c>
      <c r="BY44" s="133">
        <v>75</v>
      </c>
      <c r="BZ44" s="133">
        <v>125</v>
      </c>
      <c r="CA44" s="133">
        <v>40</v>
      </c>
      <c r="CB44" s="133" t="s">
        <v>103</v>
      </c>
      <c r="CC44" s="57" t="s">
        <v>57</v>
      </c>
      <c r="CD44" s="57">
        <v>7</v>
      </c>
      <c r="CI44" s="82">
        <v>2E-3</v>
      </c>
      <c r="CJ44" s="82">
        <v>2E-3</v>
      </c>
      <c r="CK44" s="82">
        <v>2E-3</v>
      </c>
      <c r="CL44" s="82">
        <v>2E-3</v>
      </c>
      <c r="CM44" s="82">
        <v>2E-3</v>
      </c>
      <c r="CN44" s="82">
        <v>2E-3</v>
      </c>
      <c r="CO44" s="82">
        <v>2E-3</v>
      </c>
      <c r="CP44" s="82">
        <v>2E-3</v>
      </c>
      <c r="CQ44" s="82">
        <v>2E-3</v>
      </c>
      <c r="CR44" s="82">
        <v>2E-3</v>
      </c>
      <c r="CS44" s="82">
        <v>2E-3</v>
      </c>
      <c r="CT44" s="82">
        <v>2E-3</v>
      </c>
      <c r="CU44" s="82">
        <v>2E-3</v>
      </c>
      <c r="CV44" s="82">
        <v>2E-3</v>
      </c>
      <c r="CW44" s="82">
        <v>2E-3</v>
      </c>
      <c r="CX44" s="82">
        <v>2E-3</v>
      </c>
      <c r="CY44" s="82">
        <v>2E-3</v>
      </c>
      <c r="CZ44" s="82">
        <v>2E-3</v>
      </c>
      <c r="DA44" s="82">
        <v>2E-3</v>
      </c>
      <c r="DB44" s="82">
        <v>2E-3</v>
      </c>
      <c r="DC44" s="82">
        <v>2E-3</v>
      </c>
      <c r="DD44" s="82">
        <v>2E-3</v>
      </c>
      <c r="DE44" s="82">
        <v>2E-3</v>
      </c>
      <c r="DF44" s="82">
        <v>2E-3</v>
      </c>
      <c r="DG44" s="82">
        <v>2E-3</v>
      </c>
      <c r="DH44" s="82">
        <v>2E-3</v>
      </c>
      <c r="DI44" s="82">
        <v>2E-3</v>
      </c>
      <c r="DJ44" s="82">
        <v>2E-3</v>
      </c>
      <c r="DK44" s="82">
        <v>2E-3</v>
      </c>
      <c r="DL44" s="82">
        <v>2E-3</v>
      </c>
      <c r="DM44" s="82">
        <v>2E-3</v>
      </c>
      <c r="DN44" s="82">
        <v>2E-3</v>
      </c>
      <c r="DO44" s="82">
        <v>2E-3</v>
      </c>
      <c r="DP44" s="82">
        <v>2E-3</v>
      </c>
      <c r="DQ44" s="82">
        <v>2E-3</v>
      </c>
      <c r="DR44" s="82">
        <v>2E-3</v>
      </c>
      <c r="DS44" s="82">
        <v>2E-3</v>
      </c>
      <c r="DT44" s="82">
        <v>2E-3</v>
      </c>
      <c r="DU44" s="82">
        <v>2E-3</v>
      </c>
      <c r="DV44" s="82">
        <v>2E-3</v>
      </c>
      <c r="DW44" s="82">
        <v>2E-3</v>
      </c>
      <c r="DX44" s="82">
        <v>2E-3</v>
      </c>
      <c r="DY44" s="82">
        <v>2E-3</v>
      </c>
      <c r="DZ44" s="82">
        <v>2E-3</v>
      </c>
      <c r="EA44" s="82">
        <v>2E-3</v>
      </c>
      <c r="EB44" s="82">
        <v>2E-3</v>
      </c>
      <c r="EC44" s="82">
        <v>2E-3</v>
      </c>
      <c r="ED44" s="82">
        <v>2E-3</v>
      </c>
      <c r="EE44" s="82">
        <v>2E-3</v>
      </c>
      <c r="EF44" s="82">
        <v>2E-3</v>
      </c>
      <c r="EG44" s="82">
        <v>2E-3</v>
      </c>
      <c r="EH44" s="82">
        <v>2E-3</v>
      </c>
      <c r="EI44" s="82">
        <v>2E-3</v>
      </c>
      <c r="EJ44" s="82">
        <v>2E-3</v>
      </c>
      <c r="EK44" s="82">
        <v>2E-3</v>
      </c>
      <c r="EL44" s="82">
        <v>2E-3</v>
      </c>
      <c r="EM44" s="82">
        <v>2E-3</v>
      </c>
      <c r="EN44" s="82"/>
      <c r="EO44" s="82"/>
      <c r="EP44" s="82"/>
      <c r="EQ44" s="82"/>
    </row>
    <row r="45" spans="4:147" x14ac:dyDescent="0.25">
      <c r="Q45" s="138">
        <f t="shared" si="1"/>
        <v>0.32515625000000004</v>
      </c>
      <c r="R45" s="133">
        <v>0.375</v>
      </c>
      <c r="S45" s="138">
        <f t="shared" si="2"/>
        <v>4.9843749999999964E-2</v>
      </c>
      <c r="T45" s="61"/>
      <c r="U45" s="129">
        <v>17</v>
      </c>
      <c r="V45" s="130">
        <v>75</v>
      </c>
      <c r="W45" s="130"/>
      <c r="X45" s="130">
        <v>450</v>
      </c>
      <c r="Y45" s="130">
        <v>105</v>
      </c>
      <c r="Z45" s="130"/>
      <c r="AA45" s="63"/>
      <c r="AB45" s="130"/>
      <c r="AC45" s="129">
        <v>42</v>
      </c>
      <c r="AD45" s="64">
        <v>-1</v>
      </c>
      <c r="AE45" s="130"/>
      <c r="AF45" s="130">
        <v>75</v>
      </c>
      <c r="AG45" s="65">
        <v>-0.9</v>
      </c>
      <c r="AH45" s="65"/>
      <c r="AI45" s="65"/>
      <c r="AJ45" s="66"/>
      <c r="AK45" s="67"/>
      <c r="AL45" s="68">
        <v>44</v>
      </c>
      <c r="AM45" s="70">
        <v>-0.8</v>
      </c>
      <c r="AN45" s="70"/>
      <c r="AO45" s="61">
        <v>29</v>
      </c>
      <c r="AP45" s="71">
        <v>-0.75</v>
      </c>
      <c r="AQ45" s="71"/>
      <c r="AR45" s="61"/>
      <c r="AS45" s="91">
        <v>-0.8</v>
      </c>
      <c r="AT45" s="91"/>
      <c r="AU45" s="91"/>
      <c r="AV45" s="91"/>
      <c r="AW45" s="92"/>
      <c r="AX45" s="91"/>
      <c r="AY45" s="69"/>
      <c r="AZ45" s="93"/>
      <c r="BB45" s="147" t="s">
        <v>735</v>
      </c>
      <c r="BC45" s="148"/>
      <c r="BD45" s="130">
        <f>IF(BD41&lt;0%,((BD43+((BD44-BD43)*ABS(BD41)))),((BD43-((BD43-BD44)*ABS(BD41)))))</f>
        <v>5.0625</v>
      </c>
      <c r="BE45" s="61"/>
      <c r="BF45" s="61"/>
      <c r="BG45" s="61"/>
      <c r="BH45" s="61"/>
      <c r="BI45" s="61"/>
      <c r="BJ45" s="61"/>
      <c r="BK45" s="80"/>
      <c r="BM45" s="76">
        <v>2.6</v>
      </c>
      <c r="BN45" s="75">
        <v>0.7</v>
      </c>
      <c r="BO45" s="75"/>
      <c r="BP45" s="77">
        <v>1.4E-2</v>
      </c>
      <c r="BQ45" s="75">
        <v>0.65</v>
      </c>
      <c r="BR45" s="75"/>
      <c r="BS45" s="77">
        <v>1.4E-2</v>
      </c>
      <c r="BT45" s="75">
        <v>0.03</v>
      </c>
      <c r="BU45" s="77"/>
      <c r="BV45" s="81"/>
      <c r="BW45" s="82"/>
      <c r="BX45" s="133">
        <v>17.5</v>
      </c>
      <c r="BY45" s="133">
        <v>80</v>
      </c>
      <c r="BZ45" s="133">
        <v>125</v>
      </c>
      <c r="CA45" s="133">
        <v>40</v>
      </c>
      <c r="CB45" s="133" t="s">
        <v>104</v>
      </c>
      <c r="CC45" s="57" t="s">
        <v>57</v>
      </c>
      <c r="CD45" s="57">
        <v>8</v>
      </c>
      <c r="CI45" s="82">
        <v>3.0000000000000001E-3</v>
      </c>
      <c r="CJ45" s="82">
        <v>3.0000000000000001E-3</v>
      </c>
      <c r="CK45" s="82">
        <v>3.0000000000000001E-3</v>
      </c>
      <c r="CL45" s="82">
        <v>3.0000000000000001E-3</v>
      </c>
      <c r="CM45" s="82">
        <v>3.0000000000000001E-3</v>
      </c>
      <c r="CN45" s="82">
        <v>3.0000000000000001E-3</v>
      </c>
      <c r="CO45" s="82">
        <v>3.0000000000000001E-3</v>
      </c>
      <c r="CP45" s="82">
        <v>3.0000000000000001E-3</v>
      </c>
      <c r="CQ45" s="82">
        <v>3.0000000000000001E-3</v>
      </c>
      <c r="CR45" s="82">
        <v>3.0000000000000001E-3</v>
      </c>
      <c r="CS45" s="82">
        <v>3.0000000000000001E-3</v>
      </c>
      <c r="CT45" s="82">
        <v>3.0000000000000001E-3</v>
      </c>
      <c r="CU45" s="82">
        <v>3.0000000000000001E-3</v>
      </c>
      <c r="CV45" s="82">
        <v>3.0000000000000001E-3</v>
      </c>
      <c r="CW45" s="82">
        <v>3.0000000000000001E-3</v>
      </c>
      <c r="CX45" s="82">
        <v>3.0000000000000001E-3</v>
      </c>
      <c r="CY45" s="82">
        <v>3.0000000000000001E-3</v>
      </c>
      <c r="CZ45" s="82">
        <v>3.0000000000000001E-3</v>
      </c>
      <c r="DA45" s="82">
        <v>3.0000000000000001E-3</v>
      </c>
      <c r="DB45" s="82">
        <v>3.0000000000000001E-3</v>
      </c>
      <c r="DC45" s="82">
        <v>3.0000000000000001E-3</v>
      </c>
      <c r="DD45" s="82">
        <v>3.0000000000000001E-3</v>
      </c>
      <c r="DE45" s="82">
        <v>3.0000000000000001E-3</v>
      </c>
      <c r="DF45" s="82">
        <v>3.0000000000000001E-3</v>
      </c>
      <c r="DG45" s="82">
        <v>3.0000000000000001E-3</v>
      </c>
      <c r="DH45" s="82">
        <v>3.0000000000000001E-3</v>
      </c>
      <c r="DI45" s="82">
        <v>3.0000000000000001E-3</v>
      </c>
      <c r="DJ45" s="82">
        <v>3.0000000000000001E-3</v>
      </c>
      <c r="DK45" s="82">
        <v>3.0000000000000001E-3</v>
      </c>
      <c r="DL45" s="82">
        <v>3.0000000000000001E-3</v>
      </c>
      <c r="DM45" s="82">
        <v>3.0000000000000001E-3</v>
      </c>
      <c r="DN45" s="82">
        <v>3.0000000000000001E-3</v>
      </c>
      <c r="DO45" s="82">
        <v>3.0000000000000001E-3</v>
      </c>
      <c r="DP45" s="82">
        <v>3.0000000000000001E-3</v>
      </c>
      <c r="DQ45" s="82">
        <v>3.0000000000000001E-3</v>
      </c>
      <c r="DR45" s="82">
        <v>3.0000000000000001E-3</v>
      </c>
      <c r="DS45" s="82">
        <v>3.0000000000000001E-3</v>
      </c>
      <c r="DT45" s="82">
        <v>3.0000000000000001E-3</v>
      </c>
      <c r="DU45" s="82">
        <v>3.0000000000000001E-3</v>
      </c>
      <c r="DV45" s="82">
        <v>3.0000000000000001E-3</v>
      </c>
      <c r="DW45" s="82">
        <v>3.0000000000000001E-3</v>
      </c>
      <c r="DX45" s="82">
        <v>3.0000000000000001E-3</v>
      </c>
      <c r="DY45" s="82">
        <v>3.0000000000000001E-3</v>
      </c>
      <c r="DZ45" s="82">
        <v>3.0000000000000001E-3</v>
      </c>
      <c r="EA45" s="82">
        <v>3.0000000000000001E-3</v>
      </c>
      <c r="EB45" s="82">
        <v>3.0000000000000001E-3</v>
      </c>
      <c r="EC45" s="82">
        <v>3.0000000000000001E-3</v>
      </c>
      <c r="ED45" s="82">
        <v>3.0000000000000001E-3</v>
      </c>
      <c r="EE45" s="82">
        <v>3.0000000000000001E-3</v>
      </c>
      <c r="EF45" s="82">
        <v>3.0000000000000001E-3</v>
      </c>
      <c r="EG45" s="82">
        <v>3.0000000000000001E-3</v>
      </c>
      <c r="EH45" s="82">
        <v>3.0000000000000001E-3</v>
      </c>
      <c r="EI45" s="82">
        <v>3.0000000000000001E-3</v>
      </c>
      <c r="EJ45" s="82">
        <v>3.0000000000000001E-3</v>
      </c>
      <c r="EK45" s="82">
        <v>3.0000000000000001E-3</v>
      </c>
      <c r="EL45" s="82"/>
      <c r="EM45" s="82"/>
      <c r="EN45" s="82"/>
      <c r="EO45" s="82"/>
      <c r="EP45" s="82"/>
      <c r="EQ45" s="82"/>
    </row>
    <row r="46" spans="4:147" x14ac:dyDescent="0.25">
      <c r="Q46" s="138">
        <f t="shared" si="1"/>
        <v>0.45015625000000004</v>
      </c>
      <c r="R46" s="138">
        <v>0.5</v>
      </c>
      <c r="S46" s="138">
        <f t="shared" si="2"/>
        <v>4.9843749999999964E-2</v>
      </c>
      <c r="T46" s="61"/>
      <c r="U46" s="129">
        <v>17.5</v>
      </c>
      <c r="V46" s="130">
        <v>80</v>
      </c>
      <c r="W46" s="130"/>
      <c r="X46" s="130">
        <v>475</v>
      </c>
      <c r="Y46" s="130">
        <v>110</v>
      </c>
      <c r="Z46" s="130"/>
      <c r="AA46" s="63"/>
      <c r="AB46" s="130"/>
      <c r="AC46" s="129">
        <v>45</v>
      </c>
      <c r="AD46" s="64">
        <v>-1</v>
      </c>
      <c r="AE46" s="130"/>
      <c r="AF46" s="130">
        <v>80</v>
      </c>
      <c r="AG46" s="65">
        <v>-1</v>
      </c>
      <c r="AH46" s="65"/>
      <c r="AI46" s="65"/>
      <c r="AJ46" s="66"/>
      <c r="AK46" s="67"/>
      <c r="AL46" s="68">
        <v>45</v>
      </c>
      <c r="AM46" s="69">
        <v>-1</v>
      </c>
      <c r="AN46" s="69"/>
      <c r="AO46" s="61">
        <v>30</v>
      </c>
      <c r="AP46" s="71">
        <v>-0.9</v>
      </c>
      <c r="AQ46" s="71"/>
      <c r="AR46" s="61"/>
      <c r="AS46" s="91">
        <v>-0.7</v>
      </c>
      <c r="AT46" s="91"/>
      <c r="AU46" s="91"/>
      <c r="AV46" s="91"/>
      <c r="AW46" s="92"/>
      <c r="AX46" s="91"/>
      <c r="AY46" s="69"/>
      <c r="AZ46" s="93"/>
      <c r="BB46" s="147" t="s">
        <v>717</v>
      </c>
      <c r="BC46" s="148"/>
      <c r="BD46" s="130" t="b">
        <f>VLOOKUP(G13,BF31:BG32,2,FALSE)</f>
        <v>0</v>
      </c>
      <c r="BE46" s="61"/>
      <c r="BF46" s="61"/>
      <c r="BG46" s="61"/>
      <c r="BH46" s="61"/>
      <c r="BI46" s="61"/>
      <c r="BJ46" s="61"/>
      <c r="BK46" s="80"/>
      <c r="BM46" s="76">
        <v>2.61</v>
      </c>
      <c r="BN46" s="75">
        <v>0.8</v>
      </c>
      <c r="BO46" s="75"/>
      <c r="BP46" s="77">
        <v>1.4999999999999999E-2</v>
      </c>
      <c r="BQ46" s="75">
        <v>0.625</v>
      </c>
      <c r="BR46" s="75"/>
      <c r="BS46" s="77">
        <v>1.4999999999999999E-2</v>
      </c>
      <c r="BT46" s="75">
        <v>0</v>
      </c>
      <c r="BU46" s="77"/>
      <c r="BV46" s="81"/>
      <c r="BW46" s="82"/>
      <c r="BX46" s="133">
        <v>18</v>
      </c>
      <c r="BY46" s="133">
        <v>85</v>
      </c>
      <c r="BZ46" s="133">
        <v>125</v>
      </c>
      <c r="CA46" s="133">
        <v>40</v>
      </c>
      <c r="CB46" s="133" t="s">
        <v>105</v>
      </c>
      <c r="CC46" s="57" t="s">
        <v>57</v>
      </c>
      <c r="CD46" s="57">
        <v>9</v>
      </c>
      <c r="CI46" s="82">
        <v>4.0000000000000001E-3</v>
      </c>
      <c r="CJ46" s="82">
        <v>4.0000000000000001E-3</v>
      </c>
      <c r="CK46" s="82">
        <v>4.0000000000000001E-3</v>
      </c>
      <c r="CL46" s="82">
        <v>4.0000000000000001E-3</v>
      </c>
      <c r="CM46" s="82">
        <v>4.0000000000000001E-3</v>
      </c>
      <c r="CN46" s="82">
        <v>4.0000000000000001E-3</v>
      </c>
      <c r="CO46" s="82">
        <v>4.0000000000000001E-3</v>
      </c>
      <c r="CP46" s="82">
        <v>4.0000000000000001E-3</v>
      </c>
      <c r="CQ46" s="82">
        <v>4.0000000000000001E-3</v>
      </c>
      <c r="CR46" s="82">
        <v>4.0000000000000001E-3</v>
      </c>
      <c r="CS46" s="82">
        <v>4.0000000000000001E-3</v>
      </c>
      <c r="CT46" s="82">
        <v>4.0000000000000001E-3</v>
      </c>
      <c r="CU46" s="82">
        <v>4.0000000000000001E-3</v>
      </c>
      <c r="CV46" s="82">
        <v>4.0000000000000001E-3</v>
      </c>
      <c r="CW46" s="82">
        <v>4.0000000000000001E-3</v>
      </c>
      <c r="CX46" s="82">
        <v>4.0000000000000001E-3</v>
      </c>
      <c r="CY46" s="82">
        <v>4.0000000000000001E-3</v>
      </c>
      <c r="CZ46" s="82">
        <v>4.0000000000000001E-3</v>
      </c>
      <c r="DA46" s="82">
        <v>4.0000000000000001E-3</v>
      </c>
      <c r="DB46" s="82">
        <v>4.0000000000000001E-3</v>
      </c>
      <c r="DC46" s="82">
        <v>4.0000000000000001E-3</v>
      </c>
      <c r="DD46" s="82">
        <v>4.0000000000000001E-3</v>
      </c>
      <c r="DE46" s="82">
        <v>4.0000000000000001E-3</v>
      </c>
      <c r="DF46" s="82">
        <v>4.0000000000000001E-3</v>
      </c>
      <c r="DG46" s="82">
        <v>4.0000000000000001E-3</v>
      </c>
      <c r="DH46" s="82">
        <v>4.0000000000000001E-3</v>
      </c>
      <c r="DI46" s="82">
        <v>4.0000000000000001E-3</v>
      </c>
      <c r="DJ46" s="82">
        <v>4.0000000000000001E-3</v>
      </c>
      <c r="DK46" s="82">
        <v>4.0000000000000001E-3</v>
      </c>
      <c r="DL46" s="82">
        <v>4.0000000000000001E-3</v>
      </c>
      <c r="DM46" s="82">
        <v>4.0000000000000001E-3</v>
      </c>
      <c r="DN46" s="82">
        <v>4.0000000000000001E-3</v>
      </c>
      <c r="DO46" s="82">
        <v>4.0000000000000001E-3</v>
      </c>
      <c r="DP46" s="82">
        <v>4.0000000000000001E-3</v>
      </c>
      <c r="DQ46" s="82">
        <v>4.0000000000000001E-3</v>
      </c>
      <c r="DR46" s="82">
        <v>4.0000000000000001E-3</v>
      </c>
      <c r="DS46" s="82">
        <v>4.0000000000000001E-3</v>
      </c>
      <c r="DT46" s="82">
        <v>4.0000000000000001E-3</v>
      </c>
      <c r="DU46" s="82">
        <v>4.0000000000000001E-3</v>
      </c>
      <c r="DV46" s="82">
        <v>4.0000000000000001E-3</v>
      </c>
      <c r="DW46" s="82">
        <v>4.0000000000000001E-3</v>
      </c>
      <c r="DX46" s="82">
        <v>4.0000000000000001E-3</v>
      </c>
      <c r="DY46" s="82">
        <v>4.0000000000000001E-3</v>
      </c>
      <c r="DZ46" s="82">
        <v>4.0000000000000001E-3</v>
      </c>
      <c r="EA46" s="82">
        <v>4.0000000000000001E-3</v>
      </c>
      <c r="EB46" s="82">
        <v>4.0000000000000001E-3</v>
      </c>
      <c r="EC46" s="82">
        <v>4.0000000000000001E-3</v>
      </c>
      <c r="ED46" s="82">
        <v>4.0000000000000001E-3</v>
      </c>
      <c r="EE46" s="82">
        <v>4.0000000000000001E-3</v>
      </c>
      <c r="EF46" s="82">
        <v>4.0000000000000001E-3</v>
      </c>
      <c r="EG46" s="82">
        <v>4.0000000000000001E-3</v>
      </c>
      <c r="EH46" s="82">
        <v>4.0000000000000001E-3</v>
      </c>
      <c r="EI46" s="82">
        <v>4.0000000000000001E-3</v>
      </c>
      <c r="EJ46" s="82"/>
      <c r="EK46" s="82"/>
      <c r="EL46" s="82"/>
      <c r="EM46" s="82"/>
      <c r="EN46" s="82"/>
      <c r="EO46" s="82"/>
      <c r="EP46" s="82"/>
      <c r="EQ46" s="82"/>
    </row>
    <row r="47" spans="4:147" x14ac:dyDescent="0.25">
      <c r="Q47" s="138">
        <f t="shared" si="1"/>
        <v>0.57515625000000004</v>
      </c>
      <c r="R47" s="133">
        <v>0.625</v>
      </c>
      <c r="S47" s="138">
        <f t="shared" si="2"/>
        <v>4.9843749999999964E-2</v>
      </c>
      <c r="T47" s="61"/>
      <c r="U47" s="129">
        <v>18</v>
      </c>
      <c r="V47" s="130">
        <v>85</v>
      </c>
      <c r="W47" s="130"/>
      <c r="X47" s="130">
        <v>500</v>
      </c>
      <c r="Y47" s="130">
        <v>115</v>
      </c>
      <c r="Z47" s="130"/>
      <c r="AA47" s="63"/>
      <c r="AB47" s="130"/>
      <c r="AC47" s="129">
        <v>48</v>
      </c>
      <c r="AD47" s="64">
        <v>-1</v>
      </c>
      <c r="AE47" s="130"/>
      <c r="AF47" s="130">
        <v>85</v>
      </c>
      <c r="AG47" s="65">
        <v>-1</v>
      </c>
      <c r="AH47" s="65"/>
      <c r="AI47" s="65"/>
      <c r="AJ47" s="66"/>
      <c r="AK47" s="67"/>
      <c r="AL47" s="68">
        <v>46</v>
      </c>
      <c r="AM47" s="69">
        <v>-1</v>
      </c>
      <c r="AN47" s="69"/>
      <c r="AO47" s="61">
        <v>31</v>
      </c>
      <c r="AP47" s="71">
        <v>-1</v>
      </c>
      <c r="AQ47" s="71"/>
      <c r="AR47" s="61"/>
      <c r="AS47" s="91">
        <v>-0.6</v>
      </c>
      <c r="AT47" s="91"/>
      <c r="AU47" s="91"/>
      <c r="AV47" s="91"/>
      <c r="AW47" s="92"/>
      <c r="AX47" s="91"/>
      <c r="AY47" s="69"/>
      <c r="AZ47" s="93"/>
      <c r="BB47" s="147" t="s">
        <v>713</v>
      </c>
      <c r="BC47" s="148"/>
      <c r="BD47" s="130">
        <f>0+(BD42*3.375)</f>
        <v>1.6875</v>
      </c>
      <c r="BE47" s="61"/>
      <c r="BF47" s="61"/>
      <c r="BG47" s="61"/>
      <c r="BH47" s="61"/>
      <c r="BI47" s="61"/>
      <c r="BJ47" s="61"/>
      <c r="BK47" s="80"/>
      <c r="BM47" s="76">
        <v>2.62</v>
      </c>
      <c r="BN47" s="75">
        <v>0.9</v>
      </c>
      <c r="BO47" s="75"/>
      <c r="BP47" s="77">
        <v>1.6E-2</v>
      </c>
      <c r="BQ47" s="75">
        <v>0.6</v>
      </c>
      <c r="BR47" s="75"/>
      <c r="BS47" s="77">
        <v>1.6E-2</v>
      </c>
      <c r="BT47" s="75">
        <v>-0.03</v>
      </c>
      <c r="BU47" s="77"/>
      <c r="BV47" s="81"/>
      <c r="BW47" s="82"/>
      <c r="BX47" s="133">
        <v>18.5</v>
      </c>
      <c r="BY47" s="133">
        <v>90</v>
      </c>
      <c r="BZ47" s="133">
        <v>125</v>
      </c>
      <c r="CA47" s="133">
        <v>40</v>
      </c>
      <c r="CB47" s="133" t="s">
        <v>106</v>
      </c>
      <c r="CC47" s="57" t="s">
        <v>58</v>
      </c>
      <c r="CD47" s="57">
        <v>10</v>
      </c>
      <c r="CI47" s="82">
        <v>5.0000000000000001E-3</v>
      </c>
      <c r="CJ47" s="82">
        <v>5.0000000000000001E-3</v>
      </c>
      <c r="CK47" s="82">
        <v>5.0000000000000001E-3</v>
      </c>
      <c r="CL47" s="82">
        <v>5.0000000000000001E-3</v>
      </c>
      <c r="CM47" s="82">
        <v>5.0000000000000001E-3</v>
      </c>
      <c r="CN47" s="82">
        <v>5.0000000000000001E-3</v>
      </c>
      <c r="CO47" s="82">
        <v>5.0000000000000001E-3</v>
      </c>
      <c r="CP47" s="82">
        <v>5.0000000000000001E-3</v>
      </c>
      <c r="CQ47" s="82">
        <v>5.0000000000000001E-3</v>
      </c>
      <c r="CR47" s="82">
        <v>5.0000000000000001E-3</v>
      </c>
      <c r="CS47" s="82">
        <v>5.0000000000000001E-3</v>
      </c>
      <c r="CT47" s="82">
        <v>5.0000000000000001E-3</v>
      </c>
      <c r="CU47" s="82">
        <v>5.0000000000000001E-3</v>
      </c>
      <c r="CV47" s="82">
        <v>5.0000000000000001E-3</v>
      </c>
      <c r="CW47" s="82">
        <v>5.0000000000000001E-3</v>
      </c>
      <c r="CX47" s="82">
        <v>5.0000000000000001E-3</v>
      </c>
      <c r="CY47" s="82">
        <v>5.0000000000000001E-3</v>
      </c>
      <c r="CZ47" s="82">
        <v>5.0000000000000001E-3</v>
      </c>
      <c r="DA47" s="82">
        <v>5.0000000000000001E-3</v>
      </c>
      <c r="DB47" s="82">
        <v>5.0000000000000001E-3</v>
      </c>
      <c r="DC47" s="82">
        <v>5.0000000000000001E-3</v>
      </c>
      <c r="DD47" s="82">
        <v>5.0000000000000001E-3</v>
      </c>
      <c r="DE47" s="82">
        <v>5.0000000000000001E-3</v>
      </c>
      <c r="DF47" s="82">
        <v>5.0000000000000001E-3</v>
      </c>
      <c r="DG47" s="82">
        <v>5.0000000000000001E-3</v>
      </c>
      <c r="DH47" s="82">
        <v>5.0000000000000001E-3</v>
      </c>
      <c r="DI47" s="82">
        <v>5.0000000000000001E-3</v>
      </c>
      <c r="DJ47" s="82">
        <v>5.0000000000000001E-3</v>
      </c>
      <c r="DK47" s="82">
        <v>5.0000000000000001E-3</v>
      </c>
      <c r="DL47" s="82">
        <v>5.0000000000000001E-3</v>
      </c>
      <c r="DM47" s="82">
        <v>5.0000000000000001E-3</v>
      </c>
      <c r="DN47" s="82">
        <v>5.0000000000000001E-3</v>
      </c>
      <c r="DO47" s="82">
        <v>5.0000000000000001E-3</v>
      </c>
      <c r="DP47" s="82">
        <v>5.0000000000000001E-3</v>
      </c>
      <c r="DQ47" s="82">
        <v>5.0000000000000001E-3</v>
      </c>
      <c r="DR47" s="82">
        <v>5.0000000000000001E-3</v>
      </c>
      <c r="DS47" s="82">
        <v>5.0000000000000001E-3</v>
      </c>
      <c r="DT47" s="82">
        <v>5.0000000000000001E-3</v>
      </c>
      <c r="DU47" s="82">
        <v>5.0000000000000001E-3</v>
      </c>
      <c r="DV47" s="82">
        <v>5.0000000000000001E-3</v>
      </c>
      <c r="DW47" s="82">
        <v>5.0000000000000001E-3</v>
      </c>
      <c r="DX47" s="82">
        <v>5.0000000000000001E-3</v>
      </c>
      <c r="DY47" s="82">
        <v>5.0000000000000001E-3</v>
      </c>
      <c r="DZ47" s="82">
        <v>5.0000000000000001E-3</v>
      </c>
      <c r="EA47" s="82">
        <v>5.0000000000000001E-3</v>
      </c>
      <c r="EB47" s="82">
        <v>5.0000000000000001E-3</v>
      </c>
      <c r="EC47" s="82">
        <v>5.0000000000000001E-3</v>
      </c>
      <c r="ED47" s="82">
        <v>5.0000000000000001E-3</v>
      </c>
      <c r="EE47" s="82">
        <v>5.0000000000000001E-3</v>
      </c>
      <c r="EF47" s="82">
        <v>5.0000000000000001E-3</v>
      </c>
      <c r="EG47" s="82">
        <v>5.0000000000000001E-3</v>
      </c>
      <c r="EH47" s="82"/>
      <c r="EI47" s="82"/>
      <c r="EJ47" s="82"/>
      <c r="EK47" s="82"/>
      <c r="EL47" s="82"/>
      <c r="EM47" s="82"/>
      <c r="EN47" s="82"/>
      <c r="EO47" s="82"/>
      <c r="EP47" s="82"/>
      <c r="EQ47" s="82"/>
    </row>
    <row r="48" spans="4:147" x14ac:dyDescent="0.25">
      <c r="Q48" s="138">
        <f t="shared" si="1"/>
        <v>0.70015625000000004</v>
      </c>
      <c r="R48" s="138">
        <v>0.75</v>
      </c>
      <c r="S48" s="138">
        <f t="shared" si="2"/>
        <v>4.9843749999999964E-2</v>
      </c>
      <c r="T48" s="61"/>
      <c r="U48" s="129">
        <v>18.5</v>
      </c>
      <c r="V48" s="130">
        <v>90</v>
      </c>
      <c r="W48" s="130"/>
      <c r="X48" s="130">
        <v>525</v>
      </c>
      <c r="Y48" s="130">
        <v>120</v>
      </c>
      <c r="Z48" s="130"/>
      <c r="AA48" s="63"/>
      <c r="AB48" s="130"/>
      <c r="AC48" s="129">
        <v>51</v>
      </c>
      <c r="AD48" s="64">
        <v>-1</v>
      </c>
      <c r="AE48" s="130"/>
      <c r="AF48" s="130">
        <v>90</v>
      </c>
      <c r="AG48" s="65">
        <v>-1</v>
      </c>
      <c r="AH48" s="65"/>
      <c r="AI48" s="65"/>
      <c r="AJ48" s="66"/>
      <c r="AK48" s="67"/>
      <c r="AL48" s="68">
        <v>47</v>
      </c>
      <c r="AM48" s="69">
        <v>-1</v>
      </c>
      <c r="AN48" s="69"/>
      <c r="AO48" s="61">
        <v>32</v>
      </c>
      <c r="AP48" s="71">
        <v>-1</v>
      </c>
      <c r="AQ48" s="71"/>
      <c r="AR48" s="61" t="s">
        <v>722</v>
      </c>
      <c r="AS48" s="91">
        <v>-0.5</v>
      </c>
      <c r="AT48" s="91"/>
      <c r="AU48" s="91"/>
      <c r="AV48" s="91"/>
      <c r="AW48" s="92"/>
      <c r="AX48" s="91"/>
      <c r="AY48" s="69"/>
      <c r="AZ48" s="93"/>
      <c r="BB48" s="147" t="s">
        <v>714</v>
      </c>
      <c r="BC48" s="148"/>
      <c r="BD48" s="130">
        <f>IF(BD41&lt;0,0,3.375)</f>
        <v>3.375</v>
      </c>
      <c r="BE48" s="94"/>
      <c r="BF48" s="61"/>
      <c r="BG48" s="61"/>
      <c r="BH48" s="61"/>
      <c r="BI48" s="61"/>
      <c r="BJ48" s="61"/>
      <c r="BK48" s="80"/>
      <c r="BM48" s="76">
        <v>2.63</v>
      </c>
      <c r="BN48" s="75">
        <v>1</v>
      </c>
      <c r="BO48" s="75"/>
      <c r="BP48" s="77">
        <v>1.7000000000000001E-2</v>
      </c>
      <c r="BQ48" s="75">
        <v>0.57499999999999996</v>
      </c>
      <c r="BR48" s="75"/>
      <c r="BS48" s="77">
        <v>1.7000000000000001E-2</v>
      </c>
      <c r="BT48" s="75">
        <v>-0.06</v>
      </c>
      <c r="BU48" s="77"/>
      <c r="BV48" s="81"/>
      <c r="BW48" s="82"/>
      <c r="BX48" s="133">
        <v>19</v>
      </c>
      <c r="BY48" s="133">
        <v>95</v>
      </c>
      <c r="BZ48" s="133">
        <v>125</v>
      </c>
      <c r="CA48" s="133">
        <v>40</v>
      </c>
      <c r="CB48" s="133" t="s">
        <v>107</v>
      </c>
      <c r="CC48" s="57" t="s">
        <v>58</v>
      </c>
      <c r="CD48" s="57">
        <v>11</v>
      </c>
      <c r="CI48" s="82">
        <v>6.0000000000000001E-3</v>
      </c>
      <c r="CJ48" s="82">
        <v>6.0000000000000001E-3</v>
      </c>
      <c r="CK48" s="82">
        <v>6.0000000000000001E-3</v>
      </c>
      <c r="CL48" s="82">
        <v>6.0000000000000001E-3</v>
      </c>
      <c r="CM48" s="82">
        <v>6.0000000000000001E-3</v>
      </c>
      <c r="CN48" s="82">
        <v>6.0000000000000001E-3</v>
      </c>
      <c r="CO48" s="82">
        <v>6.0000000000000001E-3</v>
      </c>
      <c r="CP48" s="82">
        <v>6.0000000000000001E-3</v>
      </c>
      <c r="CQ48" s="82">
        <v>6.0000000000000001E-3</v>
      </c>
      <c r="CR48" s="82">
        <v>6.0000000000000001E-3</v>
      </c>
      <c r="CS48" s="82">
        <v>6.0000000000000001E-3</v>
      </c>
      <c r="CT48" s="82">
        <v>6.0000000000000001E-3</v>
      </c>
      <c r="CU48" s="82">
        <v>6.0000000000000001E-3</v>
      </c>
      <c r="CV48" s="82">
        <v>6.0000000000000001E-3</v>
      </c>
      <c r="CW48" s="82">
        <v>6.0000000000000001E-3</v>
      </c>
      <c r="CX48" s="82">
        <v>6.0000000000000001E-3</v>
      </c>
      <c r="CY48" s="82">
        <v>6.0000000000000001E-3</v>
      </c>
      <c r="CZ48" s="82">
        <v>6.0000000000000001E-3</v>
      </c>
      <c r="DA48" s="82">
        <v>6.0000000000000001E-3</v>
      </c>
      <c r="DB48" s="82">
        <v>6.0000000000000001E-3</v>
      </c>
      <c r="DC48" s="82">
        <v>6.0000000000000001E-3</v>
      </c>
      <c r="DD48" s="82">
        <v>6.0000000000000001E-3</v>
      </c>
      <c r="DE48" s="82">
        <v>6.0000000000000001E-3</v>
      </c>
      <c r="DF48" s="82">
        <v>6.0000000000000001E-3</v>
      </c>
      <c r="DG48" s="82">
        <v>6.0000000000000001E-3</v>
      </c>
      <c r="DH48" s="82">
        <v>6.0000000000000001E-3</v>
      </c>
      <c r="DI48" s="82">
        <v>6.0000000000000001E-3</v>
      </c>
      <c r="DJ48" s="82">
        <v>6.0000000000000001E-3</v>
      </c>
      <c r="DK48" s="82">
        <v>6.0000000000000001E-3</v>
      </c>
      <c r="DL48" s="82">
        <v>6.0000000000000001E-3</v>
      </c>
      <c r="DM48" s="82">
        <v>6.0000000000000001E-3</v>
      </c>
      <c r="DN48" s="82">
        <v>6.0000000000000001E-3</v>
      </c>
      <c r="DO48" s="82">
        <v>6.0000000000000001E-3</v>
      </c>
      <c r="DP48" s="82">
        <v>6.0000000000000001E-3</v>
      </c>
      <c r="DQ48" s="82">
        <v>6.0000000000000001E-3</v>
      </c>
      <c r="DR48" s="82">
        <v>6.0000000000000001E-3</v>
      </c>
      <c r="DS48" s="82">
        <v>6.0000000000000001E-3</v>
      </c>
      <c r="DT48" s="82">
        <v>6.0000000000000001E-3</v>
      </c>
      <c r="DU48" s="82">
        <v>6.0000000000000001E-3</v>
      </c>
      <c r="DV48" s="82">
        <v>6.0000000000000001E-3</v>
      </c>
      <c r="DW48" s="82">
        <v>6.0000000000000001E-3</v>
      </c>
      <c r="DX48" s="82">
        <v>6.0000000000000001E-3</v>
      </c>
      <c r="DY48" s="82">
        <v>6.0000000000000001E-3</v>
      </c>
      <c r="DZ48" s="82">
        <v>6.0000000000000001E-3</v>
      </c>
      <c r="EA48" s="82">
        <v>6.0000000000000001E-3</v>
      </c>
      <c r="EB48" s="82">
        <v>6.0000000000000001E-3</v>
      </c>
      <c r="EC48" s="82">
        <v>6.0000000000000001E-3</v>
      </c>
      <c r="ED48" s="82">
        <v>6.0000000000000001E-3</v>
      </c>
      <c r="EE48" s="82">
        <v>6.0000000000000001E-3</v>
      </c>
      <c r="EF48" s="82"/>
      <c r="EG48" s="82"/>
      <c r="EH48" s="82"/>
      <c r="EI48" s="82"/>
      <c r="EJ48" s="82"/>
      <c r="EK48" s="82"/>
      <c r="EL48" s="82"/>
      <c r="EM48" s="82"/>
      <c r="EN48" s="82"/>
      <c r="EO48" s="82"/>
      <c r="EP48" s="82"/>
      <c r="EQ48" s="82"/>
    </row>
    <row r="49" spans="17:147" x14ac:dyDescent="0.25">
      <c r="Q49" s="138">
        <f t="shared" si="1"/>
        <v>0.82515625000000004</v>
      </c>
      <c r="R49" s="133">
        <v>0.875</v>
      </c>
      <c r="S49" s="138">
        <f t="shared" si="2"/>
        <v>4.9843749999999964E-2</v>
      </c>
      <c r="T49" s="61"/>
      <c r="U49" s="129">
        <v>19</v>
      </c>
      <c r="V49" s="130">
        <v>95</v>
      </c>
      <c r="W49" s="130"/>
      <c r="X49" s="130">
        <v>550</v>
      </c>
      <c r="Y49" s="130">
        <v>125</v>
      </c>
      <c r="Z49" s="130"/>
      <c r="AA49" s="63"/>
      <c r="AB49" s="130"/>
      <c r="AC49" s="129"/>
      <c r="AD49" s="130"/>
      <c r="AE49" s="130"/>
      <c r="AF49" s="130"/>
      <c r="AG49" s="130"/>
      <c r="AH49" s="130"/>
      <c r="AI49" s="130"/>
      <c r="AJ49" s="63"/>
      <c r="AL49" s="68">
        <v>48</v>
      </c>
      <c r="AM49" s="69">
        <v>-1</v>
      </c>
      <c r="AN49" s="70"/>
      <c r="AO49" s="61">
        <v>33</v>
      </c>
      <c r="AP49" s="71">
        <v>-1</v>
      </c>
      <c r="AQ49" s="71"/>
      <c r="AR49" s="61"/>
      <c r="AS49" s="91">
        <v>-0.4</v>
      </c>
      <c r="AT49" s="91"/>
      <c r="AU49" s="91"/>
      <c r="AV49" s="91"/>
      <c r="AW49" s="92"/>
      <c r="AX49" s="91"/>
      <c r="AY49" s="69"/>
      <c r="AZ49" s="93"/>
      <c r="BB49" s="147" t="s">
        <v>734</v>
      </c>
      <c r="BC49" s="148"/>
      <c r="BD49" s="130">
        <f>IF(BD41&lt;0%,((BD47-((BD47-BD48)*ABS(BD41)))),((BD47+(BD48-BD47)*ABS(BD41))))</f>
        <v>1.6875</v>
      </c>
      <c r="BE49" s="61"/>
      <c r="BF49" s="61"/>
      <c r="BG49" s="61"/>
      <c r="BH49" s="61"/>
      <c r="BI49" s="61"/>
      <c r="BJ49" s="61"/>
      <c r="BK49" s="80"/>
      <c r="BM49" s="76">
        <v>2.64</v>
      </c>
      <c r="BN49" s="75">
        <v>1</v>
      </c>
      <c r="BO49" s="75"/>
      <c r="BP49" s="77">
        <v>1.7999999999999999E-2</v>
      </c>
      <c r="BQ49" s="75">
        <v>0.55000000000000004</v>
      </c>
      <c r="BR49" s="75"/>
      <c r="BS49" s="77">
        <v>1.7999999999999999E-2</v>
      </c>
      <c r="BT49" s="75">
        <v>-0.09</v>
      </c>
      <c r="BU49" s="77"/>
      <c r="BV49" s="81"/>
      <c r="BW49" s="82"/>
      <c r="BX49" s="133">
        <v>19.5</v>
      </c>
      <c r="BY49" s="133">
        <v>100</v>
      </c>
      <c r="BZ49" s="133">
        <v>125</v>
      </c>
      <c r="CA49" s="133">
        <v>40</v>
      </c>
      <c r="CB49" s="133" t="s">
        <v>108</v>
      </c>
      <c r="CC49" s="57" t="s">
        <v>58</v>
      </c>
      <c r="CD49" s="57">
        <v>12</v>
      </c>
      <c r="CI49" s="82">
        <v>7.0000000000000001E-3</v>
      </c>
      <c r="CJ49" s="82">
        <v>7.0000000000000001E-3</v>
      </c>
      <c r="CK49" s="82">
        <v>7.0000000000000001E-3</v>
      </c>
      <c r="CL49" s="82">
        <v>7.0000000000000001E-3</v>
      </c>
      <c r="CM49" s="82">
        <v>7.0000000000000001E-3</v>
      </c>
      <c r="CN49" s="82">
        <v>7.0000000000000001E-3</v>
      </c>
      <c r="CO49" s="82">
        <v>7.0000000000000001E-3</v>
      </c>
      <c r="CP49" s="82">
        <v>7.0000000000000001E-3</v>
      </c>
      <c r="CQ49" s="82">
        <v>7.0000000000000001E-3</v>
      </c>
      <c r="CR49" s="82">
        <v>7.0000000000000001E-3</v>
      </c>
      <c r="CS49" s="82">
        <v>7.0000000000000001E-3</v>
      </c>
      <c r="CT49" s="82">
        <v>7.0000000000000001E-3</v>
      </c>
      <c r="CU49" s="82">
        <v>7.0000000000000001E-3</v>
      </c>
      <c r="CV49" s="82">
        <v>7.0000000000000001E-3</v>
      </c>
      <c r="CW49" s="82">
        <v>7.0000000000000001E-3</v>
      </c>
      <c r="CX49" s="82">
        <v>7.0000000000000001E-3</v>
      </c>
      <c r="CY49" s="82">
        <v>7.0000000000000001E-3</v>
      </c>
      <c r="CZ49" s="82">
        <v>7.0000000000000001E-3</v>
      </c>
      <c r="DA49" s="82">
        <v>7.0000000000000001E-3</v>
      </c>
      <c r="DB49" s="82">
        <v>7.0000000000000001E-3</v>
      </c>
      <c r="DC49" s="82">
        <v>7.0000000000000001E-3</v>
      </c>
      <c r="DD49" s="82">
        <v>7.0000000000000001E-3</v>
      </c>
      <c r="DE49" s="82">
        <v>7.0000000000000001E-3</v>
      </c>
      <c r="DF49" s="82">
        <v>7.0000000000000001E-3</v>
      </c>
      <c r="DG49" s="82">
        <v>7.0000000000000001E-3</v>
      </c>
      <c r="DH49" s="82">
        <v>7.0000000000000001E-3</v>
      </c>
      <c r="DI49" s="82">
        <v>7.0000000000000001E-3</v>
      </c>
      <c r="DJ49" s="82">
        <v>7.0000000000000001E-3</v>
      </c>
      <c r="DK49" s="82">
        <v>7.0000000000000001E-3</v>
      </c>
      <c r="DL49" s="82">
        <v>7.0000000000000001E-3</v>
      </c>
      <c r="DM49" s="82">
        <v>7.0000000000000001E-3</v>
      </c>
      <c r="DN49" s="82">
        <v>7.0000000000000001E-3</v>
      </c>
      <c r="DO49" s="82">
        <v>7.0000000000000001E-3</v>
      </c>
      <c r="DP49" s="82">
        <v>7.0000000000000001E-3</v>
      </c>
      <c r="DQ49" s="82">
        <v>7.0000000000000001E-3</v>
      </c>
      <c r="DR49" s="82">
        <v>7.0000000000000001E-3</v>
      </c>
      <c r="DS49" s="82">
        <v>7.0000000000000001E-3</v>
      </c>
      <c r="DT49" s="82">
        <v>7.0000000000000001E-3</v>
      </c>
      <c r="DU49" s="82">
        <v>7.0000000000000001E-3</v>
      </c>
      <c r="DV49" s="82">
        <v>7.0000000000000001E-3</v>
      </c>
      <c r="DW49" s="82">
        <v>7.0000000000000001E-3</v>
      </c>
      <c r="DX49" s="82">
        <v>7.0000000000000001E-3</v>
      </c>
      <c r="DY49" s="82">
        <v>7.0000000000000001E-3</v>
      </c>
      <c r="DZ49" s="82">
        <v>7.0000000000000001E-3</v>
      </c>
      <c r="EA49" s="82">
        <v>7.0000000000000001E-3</v>
      </c>
      <c r="EB49" s="82">
        <v>7.0000000000000001E-3</v>
      </c>
      <c r="EC49" s="82">
        <v>7.0000000000000001E-3</v>
      </c>
      <c r="ED49" s="82"/>
      <c r="EE49" s="82"/>
      <c r="EF49" s="82"/>
      <c r="EG49" s="82"/>
      <c r="EH49" s="82"/>
      <c r="EI49" s="82"/>
      <c r="EJ49" s="82"/>
      <c r="EK49" s="82"/>
      <c r="EL49" s="82"/>
      <c r="EM49" s="82"/>
      <c r="EN49" s="82"/>
      <c r="EO49" s="82"/>
      <c r="EP49" s="82"/>
      <c r="EQ49" s="82"/>
    </row>
    <row r="50" spans="17:147" ht="15.75" thickBot="1" x14ac:dyDescent="0.3">
      <c r="Q50" s="138">
        <f t="shared" si="1"/>
        <v>0.95015625000000004</v>
      </c>
      <c r="R50" s="138">
        <v>1</v>
      </c>
      <c r="S50" s="138">
        <f t="shared" si="2"/>
        <v>4.9843749999999964E-2</v>
      </c>
      <c r="T50" s="61"/>
      <c r="U50" s="129">
        <v>19.5</v>
      </c>
      <c r="V50" s="130">
        <v>100</v>
      </c>
      <c r="W50" s="130"/>
      <c r="X50" s="130">
        <v>575</v>
      </c>
      <c r="Y50" s="130">
        <v>130</v>
      </c>
      <c r="Z50" s="130"/>
      <c r="AA50" s="63"/>
      <c r="AB50" s="130"/>
      <c r="AC50" s="147" t="s">
        <v>34</v>
      </c>
      <c r="AD50" s="148"/>
      <c r="AE50" s="148"/>
      <c r="AF50" s="148" t="s">
        <v>709</v>
      </c>
      <c r="AG50" s="148"/>
      <c r="AH50" s="130"/>
      <c r="AI50" s="130"/>
      <c r="AJ50" s="63"/>
      <c r="AL50" s="68">
        <v>49</v>
      </c>
      <c r="AM50" s="69">
        <v>-1</v>
      </c>
      <c r="AN50" s="69"/>
      <c r="AO50" s="61">
        <v>34</v>
      </c>
      <c r="AP50" s="71">
        <v>-1</v>
      </c>
      <c r="AQ50" s="71"/>
      <c r="AR50" s="61"/>
      <c r="AS50" s="91">
        <v>-0.3</v>
      </c>
      <c r="AT50" s="91"/>
      <c r="AU50" s="91"/>
      <c r="AV50" s="91"/>
      <c r="AW50" s="92"/>
      <c r="AX50" s="91"/>
      <c r="AY50" s="69"/>
      <c r="BB50" s="184" t="s">
        <v>738</v>
      </c>
      <c r="BC50" s="149"/>
      <c r="BD50" s="132">
        <f>IF(BD46=TRUE,BD49,BD45)</f>
        <v>5.0625</v>
      </c>
      <c r="BE50" s="95"/>
      <c r="BF50" s="95"/>
      <c r="BG50" s="95"/>
      <c r="BH50" s="95"/>
      <c r="BI50" s="95"/>
      <c r="BJ50" s="95"/>
      <c r="BK50" s="96"/>
      <c r="BM50" s="76">
        <v>2.65</v>
      </c>
      <c r="BN50" s="75">
        <v>1</v>
      </c>
      <c r="BO50" s="75"/>
      <c r="BP50" s="77">
        <v>1.9E-2</v>
      </c>
      <c r="BQ50" s="75">
        <v>0.52500000000000002</v>
      </c>
      <c r="BR50" s="75"/>
      <c r="BS50" s="77">
        <v>1.9E-2</v>
      </c>
      <c r="BT50" s="75">
        <v>-0.12</v>
      </c>
      <c r="BU50" s="77"/>
      <c r="BV50" s="81"/>
      <c r="BW50" s="82"/>
      <c r="BX50" s="133">
        <v>20</v>
      </c>
      <c r="BY50" s="133">
        <v>105</v>
      </c>
      <c r="BZ50" s="133">
        <v>125</v>
      </c>
      <c r="CA50" s="133">
        <v>40</v>
      </c>
      <c r="CB50" s="133" t="s">
        <v>109</v>
      </c>
      <c r="CC50" s="57" t="s">
        <v>59</v>
      </c>
      <c r="CD50" s="57">
        <v>13</v>
      </c>
      <c r="CI50" s="82">
        <v>8.0000000000000002E-3</v>
      </c>
      <c r="CJ50" s="82">
        <v>8.0000000000000002E-3</v>
      </c>
      <c r="CK50" s="82">
        <v>8.0000000000000002E-3</v>
      </c>
      <c r="CL50" s="82">
        <v>8.0000000000000002E-3</v>
      </c>
      <c r="CM50" s="82">
        <v>8.0000000000000002E-3</v>
      </c>
      <c r="CN50" s="82">
        <v>8.0000000000000002E-3</v>
      </c>
      <c r="CO50" s="82">
        <v>8.0000000000000002E-3</v>
      </c>
      <c r="CP50" s="82">
        <v>8.0000000000000002E-3</v>
      </c>
      <c r="CQ50" s="82">
        <v>8.0000000000000002E-3</v>
      </c>
      <c r="CR50" s="82">
        <v>8.0000000000000002E-3</v>
      </c>
      <c r="CS50" s="82">
        <v>8.0000000000000002E-3</v>
      </c>
      <c r="CT50" s="82">
        <v>8.0000000000000002E-3</v>
      </c>
      <c r="CU50" s="82">
        <v>8.0000000000000002E-3</v>
      </c>
      <c r="CV50" s="82">
        <v>8.0000000000000002E-3</v>
      </c>
      <c r="CW50" s="82">
        <v>8.0000000000000002E-3</v>
      </c>
      <c r="CX50" s="82">
        <v>8.0000000000000002E-3</v>
      </c>
      <c r="CY50" s="82">
        <v>8.0000000000000002E-3</v>
      </c>
      <c r="CZ50" s="82">
        <v>8.0000000000000002E-3</v>
      </c>
      <c r="DA50" s="82">
        <v>8.0000000000000002E-3</v>
      </c>
      <c r="DB50" s="82">
        <v>8.0000000000000002E-3</v>
      </c>
      <c r="DC50" s="82">
        <v>8.0000000000000002E-3</v>
      </c>
      <c r="DD50" s="82">
        <v>8.0000000000000002E-3</v>
      </c>
      <c r="DE50" s="82">
        <v>8.0000000000000002E-3</v>
      </c>
      <c r="DF50" s="82">
        <v>8.0000000000000002E-3</v>
      </c>
      <c r="DG50" s="82">
        <v>8.0000000000000002E-3</v>
      </c>
      <c r="DH50" s="82">
        <v>8.0000000000000002E-3</v>
      </c>
      <c r="DI50" s="82">
        <v>8.0000000000000002E-3</v>
      </c>
      <c r="DJ50" s="82">
        <v>8.0000000000000002E-3</v>
      </c>
      <c r="DK50" s="82">
        <v>8.0000000000000002E-3</v>
      </c>
      <c r="DL50" s="82">
        <v>8.0000000000000002E-3</v>
      </c>
      <c r="DM50" s="82">
        <v>8.0000000000000002E-3</v>
      </c>
      <c r="DN50" s="82">
        <v>8.0000000000000002E-3</v>
      </c>
      <c r="DO50" s="82">
        <v>8.0000000000000002E-3</v>
      </c>
      <c r="DP50" s="82">
        <v>8.0000000000000002E-3</v>
      </c>
      <c r="DQ50" s="82">
        <v>8.0000000000000002E-3</v>
      </c>
      <c r="DR50" s="82">
        <v>8.0000000000000002E-3</v>
      </c>
      <c r="DS50" s="82">
        <v>8.0000000000000002E-3</v>
      </c>
      <c r="DT50" s="82">
        <v>8.0000000000000002E-3</v>
      </c>
      <c r="DU50" s="82">
        <v>8.0000000000000002E-3</v>
      </c>
      <c r="DV50" s="82">
        <v>8.0000000000000002E-3</v>
      </c>
      <c r="DW50" s="82">
        <v>8.0000000000000002E-3</v>
      </c>
      <c r="DX50" s="82">
        <v>8.0000000000000002E-3</v>
      </c>
      <c r="DY50" s="82">
        <v>8.0000000000000002E-3</v>
      </c>
      <c r="DZ50" s="82">
        <v>8.0000000000000002E-3</v>
      </c>
      <c r="EA50" s="82">
        <v>8.0000000000000002E-3</v>
      </c>
      <c r="EB50" s="82"/>
      <c r="EC50" s="82"/>
      <c r="ED50" s="82"/>
      <c r="EE50" s="82"/>
      <c r="EF50" s="82"/>
      <c r="EG50" s="82"/>
      <c r="EH50" s="82"/>
      <c r="EI50" s="82"/>
      <c r="EJ50" s="82"/>
      <c r="EK50" s="82"/>
      <c r="EL50" s="82"/>
      <c r="EM50" s="82"/>
      <c r="EN50" s="82"/>
      <c r="EO50" s="82"/>
      <c r="EP50" s="82"/>
      <c r="EQ50" s="82"/>
    </row>
    <row r="51" spans="17:147" x14ac:dyDescent="0.25">
      <c r="Q51" s="138">
        <f>MIN(Q42:Q50)</f>
        <v>4.9843749999999964E-2</v>
      </c>
      <c r="R51" s="133"/>
      <c r="S51" s="133"/>
      <c r="T51" s="61"/>
      <c r="U51" s="129">
        <v>20</v>
      </c>
      <c r="V51" s="130">
        <v>105</v>
      </c>
      <c r="W51" s="130"/>
      <c r="X51" s="130">
        <v>600</v>
      </c>
      <c r="Y51" s="130">
        <v>135</v>
      </c>
      <c r="Z51" s="130"/>
      <c r="AA51" s="63"/>
      <c r="AB51" s="130"/>
      <c r="AC51" s="147" t="s">
        <v>36</v>
      </c>
      <c r="AD51" s="148"/>
      <c r="AE51" s="64">
        <f>VLOOKUP(E15,AC31:AD48,2,FALSE)</f>
        <v>0.15</v>
      </c>
      <c r="AF51" s="61" t="s">
        <v>33</v>
      </c>
      <c r="AG51" s="91">
        <v>-1</v>
      </c>
      <c r="AH51" s="91"/>
      <c r="AI51" s="91"/>
      <c r="AJ51" s="92"/>
      <c r="AL51" s="68">
        <v>50</v>
      </c>
      <c r="AM51" s="69">
        <v>-1</v>
      </c>
      <c r="AN51" s="70"/>
      <c r="AO51" s="61">
        <v>35</v>
      </c>
      <c r="AP51" s="71">
        <v>-1</v>
      </c>
      <c r="AQ51" s="71"/>
      <c r="AR51" s="61"/>
      <c r="AS51" s="91">
        <v>-0.2</v>
      </c>
      <c r="AT51" s="91"/>
      <c r="AU51" s="91"/>
      <c r="AV51" s="91"/>
      <c r="AW51" s="92"/>
      <c r="AX51" s="91"/>
      <c r="AY51" s="61"/>
      <c r="BB51" s="61"/>
      <c r="BC51" s="61"/>
      <c r="BD51" s="61"/>
      <c r="BE51" s="61"/>
      <c r="BF51" s="61"/>
      <c r="BG51" s="61"/>
      <c r="BH51" s="61"/>
      <c r="BI51" s="61"/>
      <c r="BJ51" s="61"/>
      <c r="BK51" s="61"/>
      <c r="BM51" s="76">
        <v>2.66</v>
      </c>
      <c r="BN51" s="75">
        <v>1</v>
      </c>
      <c r="BO51" s="75"/>
      <c r="BP51" s="77">
        <v>0.02</v>
      </c>
      <c r="BQ51" s="75">
        <v>0.5</v>
      </c>
      <c r="BR51" s="75"/>
      <c r="BS51" s="77">
        <v>0.02</v>
      </c>
      <c r="BT51" s="75">
        <v>-0.15</v>
      </c>
      <c r="BU51" s="134"/>
      <c r="BV51" s="62"/>
      <c r="BW51" s="82"/>
      <c r="BX51" s="133">
        <v>20.5</v>
      </c>
      <c r="BY51" s="133">
        <v>110</v>
      </c>
      <c r="BZ51" s="133">
        <v>125</v>
      </c>
      <c r="CA51" s="133">
        <v>40</v>
      </c>
      <c r="CB51" s="133" t="s">
        <v>110</v>
      </c>
      <c r="CC51" s="57" t="s">
        <v>59</v>
      </c>
      <c r="CD51" s="57">
        <v>14</v>
      </c>
      <c r="CI51" s="82">
        <v>8.9999999999999993E-3</v>
      </c>
      <c r="CJ51" s="82">
        <v>8.9999999999999993E-3</v>
      </c>
      <c r="CK51" s="82">
        <v>8.9999999999999993E-3</v>
      </c>
      <c r="CL51" s="82">
        <v>8.9999999999999993E-3</v>
      </c>
      <c r="CM51" s="82">
        <v>8.9999999999999993E-3</v>
      </c>
      <c r="CN51" s="82">
        <v>8.9999999999999993E-3</v>
      </c>
      <c r="CO51" s="82">
        <v>8.9999999999999993E-3</v>
      </c>
      <c r="CP51" s="82">
        <v>8.9999999999999993E-3</v>
      </c>
      <c r="CQ51" s="82">
        <v>8.9999999999999993E-3</v>
      </c>
      <c r="CR51" s="82">
        <v>8.9999999999999993E-3</v>
      </c>
      <c r="CS51" s="82">
        <v>8.9999999999999993E-3</v>
      </c>
      <c r="CT51" s="82">
        <v>8.9999999999999993E-3</v>
      </c>
      <c r="CU51" s="82">
        <v>8.9999999999999993E-3</v>
      </c>
      <c r="CV51" s="82">
        <v>8.9999999999999993E-3</v>
      </c>
      <c r="CW51" s="82">
        <v>8.9999999999999993E-3</v>
      </c>
      <c r="CX51" s="82">
        <v>8.9999999999999993E-3</v>
      </c>
      <c r="CY51" s="82">
        <v>8.9999999999999993E-3</v>
      </c>
      <c r="CZ51" s="82">
        <v>8.9999999999999993E-3</v>
      </c>
      <c r="DA51" s="82">
        <v>8.9999999999999993E-3</v>
      </c>
      <c r="DB51" s="82">
        <v>8.9999999999999993E-3</v>
      </c>
      <c r="DC51" s="82">
        <v>8.9999999999999993E-3</v>
      </c>
      <c r="DD51" s="82">
        <v>8.9999999999999993E-3</v>
      </c>
      <c r="DE51" s="82">
        <v>8.9999999999999993E-3</v>
      </c>
      <c r="DF51" s="82">
        <v>8.9999999999999993E-3</v>
      </c>
      <c r="DG51" s="82">
        <v>8.9999999999999993E-3</v>
      </c>
      <c r="DH51" s="82">
        <v>8.9999999999999993E-3</v>
      </c>
      <c r="DI51" s="82">
        <v>8.9999999999999993E-3</v>
      </c>
      <c r="DJ51" s="82">
        <v>8.9999999999999993E-3</v>
      </c>
      <c r="DK51" s="82">
        <v>8.9999999999999993E-3</v>
      </c>
      <c r="DL51" s="82">
        <v>8.9999999999999993E-3</v>
      </c>
      <c r="DM51" s="82">
        <v>8.9999999999999993E-3</v>
      </c>
      <c r="DN51" s="82">
        <v>8.9999999999999993E-3</v>
      </c>
      <c r="DO51" s="82">
        <v>8.9999999999999993E-3</v>
      </c>
      <c r="DP51" s="82">
        <v>8.9999999999999993E-3</v>
      </c>
      <c r="DQ51" s="82">
        <v>8.9999999999999993E-3</v>
      </c>
      <c r="DR51" s="82">
        <v>8.9999999999999993E-3</v>
      </c>
      <c r="DS51" s="82">
        <v>8.9999999999999993E-3</v>
      </c>
      <c r="DT51" s="82">
        <v>8.9999999999999993E-3</v>
      </c>
      <c r="DU51" s="82">
        <v>8.9999999999999993E-3</v>
      </c>
      <c r="DV51" s="82">
        <v>8.9999999999999993E-3</v>
      </c>
      <c r="DW51" s="82">
        <v>8.9999999999999993E-3</v>
      </c>
      <c r="DX51" s="82">
        <v>8.9999999999999993E-3</v>
      </c>
      <c r="DY51" s="82">
        <v>8.9999999999999993E-3</v>
      </c>
      <c r="DZ51" s="82"/>
      <c r="EA51" s="82"/>
      <c r="EB51" s="82"/>
      <c r="EC51" s="82"/>
      <c r="ED51" s="82"/>
      <c r="EE51" s="82"/>
      <c r="EF51" s="82"/>
      <c r="EG51" s="82"/>
      <c r="EH51" s="82"/>
      <c r="EI51" s="82"/>
      <c r="EJ51" s="82"/>
      <c r="EK51" s="82"/>
      <c r="EL51" s="82"/>
      <c r="EM51" s="82"/>
      <c r="EN51" s="82"/>
      <c r="EO51" s="82"/>
      <c r="EP51" s="82"/>
      <c r="EQ51" s="82"/>
    </row>
    <row r="52" spans="17:147" x14ac:dyDescent="0.25">
      <c r="Q52" s="133" t="s">
        <v>749</v>
      </c>
      <c r="T52" s="61"/>
      <c r="U52" s="129">
        <v>20.5</v>
      </c>
      <c r="V52" s="130">
        <v>110</v>
      </c>
      <c r="W52" s="130"/>
      <c r="X52" s="130"/>
      <c r="Y52" s="130"/>
      <c r="Z52" s="130"/>
      <c r="AA52" s="63"/>
      <c r="AB52" s="130"/>
      <c r="AC52" s="147" t="s">
        <v>35</v>
      </c>
      <c r="AD52" s="148"/>
      <c r="AE52" s="64">
        <f>VLOOKUP(E16,AF31:AG48,2,FALSE)</f>
        <v>-0.3</v>
      </c>
      <c r="AF52" s="61"/>
      <c r="AG52" s="91">
        <v>-1</v>
      </c>
      <c r="AH52" s="91"/>
      <c r="AI52" s="91"/>
      <c r="AJ52" s="92"/>
      <c r="AL52" s="68">
        <v>51</v>
      </c>
      <c r="AM52" s="69">
        <v>-1</v>
      </c>
      <c r="AN52" s="69"/>
      <c r="AO52" s="61"/>
      <c r="AP52" s="61"/>
      <c r="AQ52" s="61"/>
      <c r="AR52" s="61"/>
      <c r="AS52" s="91">
        <v>-0.1</v>
      </c>
      <c r="AT52" s="91"/>
      <c r="AU52" s="91"/>
      <c r="AV52" s="91"/>
      <c r="AW52" s="92"/>
      <c r="AX52" s="91"/>
      <c r="AY52" s="61"/>
      <c r="AZ52" s="61"/>
      <c r="BA52" s="61"/>
      <c r="BM52" s="76">
        <v>2.67</v>
      </c>
      <c r="BN52" s="75">
        <v>1</v>
      </c>
      <c r="BO52" s="75"/>
      <c r="BP52" s="77">
        <v>2.1000000000000001E-2</v>
      </c>
      <c r="BQ52" s="75">
        <v>0.47499999999999998</v>
      </c>
      <c r="BR52" s="75"/>
      <c r="BS52" s="77">
        <v>2.1000000000000001E-2</v>
      </c>
      <c r="BT52" s="75">
        <v>-0.18</v>
      </c>
      <c r="BU52" s="75"/>
      <c r="BV52" s="78"/>
      <c r="BW52" s="82"/>
      <c r="BX52" s="133">
        <v>21</v>
      </c>
      <c r="BY52" s="133">
        <v>115</v>
      </c>
      <c r="BZ52" s="133">
        <v>125</v>
      </c>
      <c r="CA52" s="133">
        <v>40</v>
      </c>
      <c r="CB52" s="133" t="s">
        <v>111</v>
      </c>
      <c r="CC52" s="57" t="s">
        <v>59</v>
      </c>
      <c r="CD52" s="57">
        <v>15</v>
      </c>
      <c r="CI52" s="82">
        <v>0.01</v>
      </c>
      <c r="CJ52" s="82">
        <v>0.01</v>
      </c>
      <c r="CK52" s="82">
        <v>0.01</v>
      </c>
      <c r="CL52" s="82">
        <v>0.01</v>
      </c>
      <c r="CM52" s="82">
        <v>0.01</v>
      </c>
      <c r="CN52" s="82">
        <v>0.01</v>
      </c>
      <c r="CO52" s="82">
        <v>0.01</v>
      </c>
      <c r="CP52" s="82">
        <v>0.01</v>
      </c>
      <c r="CQ52" s="82">
        <v>0.01</v>
      </c>
      <c r="CR52" s="82">
        <v>0.01</v>
      </c>
      <c r="CS52" s="82">
        <v>0.01</v>
      </c>
      <c r="CT52" s="82">
        <v>0.01</v>
      </c>
      <c r="CU52" s="82">
        <v>0.01</v>
      </c>
      <c r="CV52" s="82">
        <v>0.01</v>
      </c>
      <c r="CW52" s="82">
        <v>0.01</v>
      </c>
      <c r="CX52" s="82">
        <v>0.01</v>
      </c>
      <c r="CY52" s="82">
        <v>0.01</v>
      </c>
      <c r="CZ52" s="82">
        <v>0.01</v>
      </c>
      <c r="DA52" s="82">
        <v>0.01</v>
      </c>
      <c r="DB52" s="82">
        <v>0.01</v>
      </c>
      <c r="DC52" s="82">
        <v>0.01</v>
      </c>
      <c r="DD52" s="82">
        <v>0.01</v>
      </c>
      <c r="DE52" s="82">
        <v>0.01</v>
      </c>
      <c r="DF52" s="82">
        <v>0.01</v>
      </c>
      <c r="DG52" s="82">
        <v>0.01</v>
      </c>
      <c r="DH52" s="82">
        <v>0.01</v>
      </c>
      <c r="DI52" s="82">
        <v>0.01</v>
      </c>
      <c r="DJ52" s="82">
        <v>0.01</v>
      </c>
      <c r="DK52" s="82">
        <v>0.01</v>
      </c>
      <c r="DL52" s="82">
        <v>0.01</v>
      </c>
      <c r="DM52" s="82">
        <v>0.01</v>
      </c>
      <c r="DN52" s="82">
        <v>0.01</v>
      </c>
      <c r="DO52" s="82">
        <v>0.01</v>
      </c>
      <c r="DP52" s="82">
        <v>0.01</v>
      </c>
      <c r="DQ52" s="82">
        <v>0.01</v>
      </c>
      <c r="DR52" s="82">
        <v>0.01</v>
      </c>
      <c r="DS52" s="82">
        <v>0.01</v>
      </c>
      <c r="DT52" s="82">
        <v>0.01</v>
      </c>
      <c r="DU52" s="82">
        <v>0.01</v>
      </c>
      <c r="DV52" s="82">
        <v>0.01</v>
      </c>
      <c r="DW52" s="82">
        <v>0.01</v>
      </c>
      <c r="DX52" s="82"/>
      <c r="DY52" s="82"/>
      <c r="DZ52" s="82"/>
      <c r="EA52" s="82"/>
      <c r="EB52" s="82"/>
      <c r="EC52" s="82"/>
      <c r="ED52" s="82"/>
      <c r="EE52" s="82"/>
      <c r="EF52" s="82"/>
      <c r="EG52" s="82"/>
      <c r="EH52" s="82"/>
      <c r="EI52" s="82"/>
      <c r="EJ52" s="82"/>
      <c r="EK52" s="82"/>
      <c r="EL52" s="82"/>
      <c r="EM52" s="82"/>
      <c r="EN52" s="82"/>
      <c r="EO52" s="82"/>
      <c r="EP52" s="82"/>
      <c r="EQ52" s="82"/>
    </row>
    <row r="53" spans="17:147" x14ac:dyDescent="0.25">
      <c r="T53" s="61"/>
      <c r="U53" s="129">
        <v>21</v>
      </c>
      <c r="V53" s="130">
        <v>115</v>
      </c>
      <c r="W53" s="94"/>
      <c r="X53" s="130"/>
      <c r="Y53" s="130"/>
      <c r="Z53" s="130"/>
      <c r="AA53" s="63"/>
      <c r="AB53" s="130"/>
      <c r="AC53" s="147" t="s">
        <v>726</v>
      </c>
      <c r="AD53" s="148"/>
      <c r="AE53" s="64">
        <f>((AE51*0.5)+(AE52*0.5))</f>
        <v>-7.4999999999999997E-2</v>
      </c>
      <c r="AF53" s="61"/>
      <c r="AG53" s="91">
        <v>-1</v>
      </c>
      <c r="AH53" s="91"/>
      <c r="AI53" s="91"/>
      <c r="AJ53" s="92"/>
      <c r="AL53" s="68">
        <v>52</v>
      </c>
      <c r="AM53" s="69">
        <v>-1</v>
      </c>
      <c r="AN53" s="70"/>
      <c r="AO53" s="61"/>
      <c r="AP53" s="61"/>
      <c r="AQ53" s="61"/>
      <c r="AR53" s="61" t="s">
        <v>54</v>
      </c>
      <c r="AS53" s="91">
        <v>0</v>
      </c>
      <c r="AT53" s="91"/>
      <c r="AU53" s="91"/>
      <c r="AV53" s="91"/>
      <c r="AW53" s="92"/>
      <c r="AX53" s="91"/>
      <c r="AY53" s="61"/>
      <c r="AZ53" s="61"/>
      <c r="BA53" s="61"/>
      <c r="BM53" s="76">
        <v>2.68</v>
      </c>
      <c r="BN53" s="75">
        <v>1</v>
      </c>
      <c r="BO53" s="75"/>
      <c r="BP53" s="77">
        <v>2.1999999999999999E-2</v>
      </c>
      <c r="BQ53" s="75">
        <v>0.45</v>
      </c>
      <c r="BR53" s="75"/>
      <c r="BS53" s="77">
        <v>2.1999999999999999E-2</v>
      </c>
      <c r="BT53" s="75">
        <v>-0.21</v>
      </c>
      <c r="BU53" s="75"/>
      <c r="BV53" s="78"/>
      <c r="BW53" s="82"/>
      <c r="BX53" s="133">
        <v>21.5</v>
      </c>
      <c r="BY53" s="133">
        <v>120</v>
      </c>
      <c r="BZ53" s="133">
        <v>125</v>
      </c>
      <c r="CA53" s="133">
        <v>40</v>
      </c>
      <c r="CB53" s="133" t="s">
        <v>112</v>
      </c>
      <c r="CC53" s="57" t="s">
        <v>59</v>
      </c>
      <c r="CD53" s="57">
        <v>16</v>
      </c>
      <c r="CI53" s="82">
        <v>1.0999999999999999E-2</v>
      </c>
      <c r="CJ53" s="82">
        <v>1.0999999999999999E-2</v>
      </c>
      <c r="CK53" s="82">
        <v>1.0999999999999999E-2</v>
      </c>
      <c r="CL53" s="82">
        <v>1.0999999999999999E-2</v>
      </c>
      <c r="CM53" s="82">
        <v>1.0999999999999999E-2</v>
      </c>
      <c r="CN53" s="82">
        <v>1.0999999999999999E-2</v>
      </c>
      <c r="CO53" s="82">
        <v>1.0999999999999999E-2</v>
      </c>
      <c r="CP53" s="82">
        <v>1.0999999999999999E-2</v>
      </c>
      <c r="CQ53" s="82">
        <v>1.0999999999999999E-2</v>
      </c>
      <c r="CR53" s="82">
        <v>1.0999999999999999E-2</v>
      </c>
      <c r="CS53" s="82">
        <v>1.0999999999999999E-2</v>
      </c>
      <c r="CT53" s="82">
        <v>1.0999999999999999E-2</v>
      </c>
      <c r="CU53" s="82">
        <v>1.0999999999999999E-2</v>
      </c>
      <c r="CV53" s="82">
        <v>1.0999999999999999E-2</v>
      </c>
      <c r="CW53" s="82">
        <v>1.0999999999999999E-2</v>
      </c>
      <c r="CX53" s="82">
        <v>1.0999999999999999E-2</v>
      </c>
      <c r="CY53" s="82">
        <v>1.0999999999999999E-2</v>
      </c>
      <c r="CZ53" s="82">
        <v>1.0999999999999999E-2</v>
      </c>
      <c r="DA53" s="82">
        <v>1.0999999999999999E-2</v>
      </c>
      <c r="DB53" s="82">
        <v>1.0999999999999999E-2</v>
      </c>
      <c r="DC53" s="82">
        <v>1.0999999999999999E-2</v>
      </c>
      <c r="DD53" s="82">
        <v>1.0999999999999999E-2</v>
      </c>
      <c r="DE53" s="82">
        <v>1.0999999999999999E-2</v>
      </c>
      <c r="DF53" s="82">
        <v>1.0999999999999999E-2</v>
      </c>
      <c r="DG53" s="82">
        <v>1.0999999999999999E-2</v>
      </c>
      <c r="DH53" s="82">
        <v>1.0999999999999999E-2</v>
      </c>
      <c r="DI53" s="82">
        <v>1.0999999999999999E-2</v>
      </c>
      <c r="DJ53" s="82">
        <v>1.0999999999999999E-2</v>
      </c>
      <c r="DK53" s="82">
        <v>1.0999999999999999E-2</v>
      </c>
      <c r="DL53" s="82">
        <v>1.0999999999999999E-2</v>
      </c>
      <c r="DM53" s="82">
        <v>1.0999999999999999E-2</v>
      </c>
      <c r="DN53" s="82">
        <v>1.0999999999999999E-2</v>
      </c>
      <c r="DO53" s="82">
        <v>1.0999999999999999E-2</v>
      </c>
      <c r="DP53" s="82">
        <v>1.0999999999999999E-2</v>
      </c>
      <c r="DQ53" s="82">
        <v>1.0999999999999999E-2</v>
      </c>
      <c r="DR53" s="82">
        <v>1.0999999999999999E-2</v>
      </c>
      <c r="DS53" s="82">
        <v>1.0999999999999999E-2</v>
      </c>
      <c r="DT53" s="82">
        <v>1.0999999999999999E-2</v>
      </c>
      <c r="DU53" s="82">
        <v>1.0999999999999999E-2</v>
      </c>
      <c r="DV53" s="82"/>
      <c r="DW53" s="82"/>
      <c r="DX53" s="82"/>
      <c r="DY53" s="82"/>
      <c r="DZ53" s="82"/>
      <c r="EA53" s="82"/>
      <c r="EB53" s="82"/>
      <c r="EC53" s="82"/>
      <c r="ED53" s="82"/>
      <c r="EE53" s="82"/>
      <c r="EF53" s="82"/>
      <c r="EG53" s="82"/>
      <c r="EH53" s="82"/>
      <c r="EI53" s="82"/>
      <c r="EJ53" s="82"/>
      <c r="EK53" s="82"/>
      <c r="EL53" s="82"/>
      <c r="EM53" s="82"/>
      <c r="EN53" s="82"/>
      <c r="EO53" s="82"/>
      <c r="EP53" s="82"/>
      <c r="EQ53" s="82"/>
    </row>
    <row r="54" spans="17:147" x14ac:dyDescent="0.25">
      <c r="T54" s="61"/>
      <c r="U54" s="129">
        <v>21.5</v>
      </c>
      <c r="V54" s="130">
        <v>120</v>
      </c>
      <c r="W54" s="94"/>
      <c r="X54" s="130"/>
      <c r="Y54" s="130"/>
      <c r="Z54" s="130"/>
      <c r="AA54" s="63"/>
      <c r="AB54" s="130"/>
      <c r="AC54" s="147" t="s">
        <v>712</v>
      </c>
      <c r="AD54" s="148"/>
      <c r="AE54" s="64">
        <f>VLOOKUP(G14,AY31:AZ35,2,FALSE)</f>
        <v>0.5</v>
      </c>
      <c r="AF54" s="61"/>
      <c r="AG54" s="91">
        <v>-0.9</v>
      </c>
      <c r="AH54" s="91"/>
      <c r="AI54" s="91"/>
      <c r="AJ54" s="92"/>
      <c r="AL54" s="68">
        <v>53</v>
      </c>
      <c r="AM54" s="69">
        <v>-1</v>
      </c>
      <c r="AN54" s="69"/>
      <c r="AO54" s="61"/>
      <c r="AP54" s="61"/>
      <c r="AQ54" s="61"/>
      <c r="AR54" s="61"/>
      <c r="AS54" s="91">
        <v>0.1</v>
      </c>
      <c r="AT54" s="91"/>
      <c r="AU54" s="91"/>
      <c r="AV54" s="91"/>
      <c r="AW54" s="92"/>
      <c r="AX54" s="91"/>
      <c r="AY54" s="61"/>
      <c r="AZ54" s="61"/>
      <c r="BA54" s="61"/>
      <c r="BM54" s="76">
        <v>2.69</v>
      </c>
      <c r="BN54" s="75">
        <v>1</v>
      </c>
      <c r="BO54" s="75"/>
      <c r="BP54" s="77">
        <v>2.3E-2</v>
      </c>
      <c r="BQ54" s="75">
        <v>0.42499999999999999</v>
      </c>
      <c r="BR54" s="75"/>
      <c r="BS54" s="77">
        <v>2.3E-2</v>
      </c>
      <c r="BT54" s="75">
        <v>-0.24</v>
      </c>
      <c r="BU54" s="75"/>
      <c r="BV54" s="78"/>
      <c r="BW54" s="82"/>
      <c r="BX54" s="133">
        <v>22</v>
      </c>
      <c r="BY54" s="133">
        <v>125</v>
      </c>
      <c r="BZ54" s="133">
        <v>125</v>
      </c>
      <c r="CA54" s="133">
        <v>40</v>
      </c>
      <c r="CB54" s="133" t="s">
        <v>113</v>
      </c>
      <c r="CC54" s="57" t="s">
        <v>59</v>
      </c>
      <c r="CD54" s="57">
        <v>17</v>
      </c>
      <c r="CI54" s="82">
        <v>1.2E-2</v>
      </c>
      <c r="CJ54" s="82">
        <v>1.2E-2</v>
      </c>
      <c r="CK54" s="82">
        <v>1.2E-2</v>
      </c>
      <c r="CL54" s="82">
        <v>1.2E-2</v>
      </c>
      <c r="CM54" s="82">
        <v>1.2E-2</v>
      </c>
      <c r="CN54" s="82">
        <v>1.2E-2</v>
      </c>
      <c r="CO54" s="82">
        <v>1.2E-2</v>
      </c>
      <c r="CP54" s="82">
        <v>1.2E-2</v>
      </c>
      <c r="CQ54" s="82">
        <v>1.2E-2</v>
      </c>
      <c r="CR54" s="82">
        <v>1.2E-2</v>
      </c>
      <c r="CS54" s="82">
        <v>1.2E-2</v>
      </c>
      <c r="CT54" s="82">
        <v>1.2E-2</v>
      </c>
      <c r="CU54" s="82">
        <v>1.2E-2</v>
      </c>
      <c r="CV54" s="82">
        <v>1.2E-2</v>
      </c>
      <c r="CW54" s="82">
        <v>1.2E-2</v>
      </c>
      <c r="CX54" s="82">
        <v>1.2E-2</v>
      </c>
      <c r="CY54" s="82">
        <v>1.2E-2</v>
      </c>
      <c r="CZ54" s="82">
        <v>1.2E-2</v>
      </c>
      <c r="DA54" s="82">
        <v>1.2E-2</v>
      </c>
      <c r="DB54" s="82">
        <v>1.2E-2</v>
      </c>
      <c r="DC54" s="82">
        <v>1.2E-2</v>
      </c>
      <c r="DD54" s="82">
        <v>1.2E-2</v>
      </c>
      <c r="DE54" s="82">
        <v>1.2E-2</v>
      </c>
      <c r="DF54" s="82">
        <v>1.2E-2</v>
      </c>
      <c r="DG54" s="82">
        <v>1.2E-2</v>
      </c>
      <c r="DH54" s="82">
        <v>1.2E-2</v>
      </c>
      <c r="DI54" s="82">
        <v>1.2E-2</v>
      </c>
      <c r="DJ54" s="82">
        <v>1.2E-2</v>
      </c>
      <c r="DK54" s="82">
        <v>1.2E-2</v>
      </c>
      <c r="DL54" s="82">
        <v>1.2E-2</v>
      </c>
      <c r="DM54" s="82">
        <v>1.2E-2</v>
      </c>
      <c r="DN54" s="82">
        <v>1.2E-2</v>
      </c>
      <c r="DO54" s="82">
        <v>1.2E-2</v>
      </c>
      <c r="DP54" s="82">
        <v>1.2E-2</v>
      </c>
      <c r="DQ54" s="82">
        <v>1.2E-2</v>
      </c>
      <c r="DR54" s="82">
        <v>1.2E-2</v>
      </c>
      <c r="DS54" s="82">
        <v>1.2E-2</v>
      </c>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row>
    <row r="55" spans="17:147" x14ac:dyDescent="0.25">
      <c r="T55" s="61"/>
      <c r="U55" s="129">
        <v>22</v>
      </c>
      <c r="V55" s="130">
        <v>125</v>
      </c>
      <c r="W55" s="130"/>
      <c r="X55" s="130"/>
      <c r="Y55" s="130"/>
      <c r="Z55" s="130"/>
      <c r="AA55" s="63"/>
      <c r="AB55" s="130"/>
      <c r="AC55" s="147" t="s">
        <v>713</v>
      </c>
      <c r="AD55" s="148"/>
      <c r="AE55" s="130">
        <f>6.75-(AE54*3.375)</f>
        <v>5.0625</v>
      </c>
      <c r="AF55" s="61" t="s">
        <v>32</v>
      </c>
      <c r="AG55" s="91">
        <v>-0.75</v>
      </c>
      <c r="AH55" s="91"/>
      <c r="AI55" s="91"/>
      <c r="AJ55" s="92"/>
      <c r="AL55" s="68">
        <v>54</v>
      </c>
      <c r="AM55" s="69">
        <v>-1</v>
      </c>
      <c r="AN55" s="70"/>
      <c r="AO55" s="61"/>
      <c r="AP55" s="61"/>
      <c r="AQ55" s="61"/>
      <c r="AR55" s="61"/>
      <c r="AS55" s="91">
        <v>0.2</v>
      </c>
      <c r="AT55" s="91"/>
      <c r="AU55" s="91"/>
      <c r="AV55" s="91"/>
      <c r="AW55" s="92"/>
      <c r="AX55" s="91"/>
      <c r="AY55" s="61"/>
      <c r="AZ55" s="61"/>
      <c r="BA55" s="61"/>
      <c r="BM55" s="76">
        <v>2.7</v>
      </c>
      <c r="BN55" s="75">
        <v>1</v>
      </c>
      <c r="BO55" s="75"/>
      <c r="BP55" s="77">
        <v>2.4E-2</v>
      </c>
      <c r="BQ55" s="75">
        <v>0.4</v>
      </c>
      <c r="BR55" s="75"/>
      <c r="BS55" s="77">
        <v>2.4E-2</v>
      </c>
      <c r="BT55" s="75">
        <v>-0.27</v>
      </c>
      <c r="BU55" s="75"/>
      <c r="BV55" s="78"/>
      <c r="BW55" s="82"/>
      <c r="BX55" s="133">
        <v>22.5</v>
      </c>
      <c r="BY55" s="133">
        <v>130</v>
      </c>
      <c r="BZ55" s="133">
        <v>125</v>
      </c>
      <c r="CA55" s="133">
        <v>40</v>
      </c>
      <c r="CB55" s="133" t="s">
        <v>114</v>
      </c>
      <c r="CC55" s="57" t="s">
        <v>59</v>
      </c>
      <c r="CD55" s="57">
        <v>18</v>
      </c>
      <c r="CI55" s="82">
        <v>1.2999999999999999E-2</v>
      </c>
      <c r="CJ55" s="82">
        <v>1.2999999999999999E-2</v>
      </c>
      <c r="CK55" s="82">
        <v>1.2999999999999999E-2</v>
      </c>
      <c r="CL55" s="82">
        <v>1.2999999999999999E-2</v>
      </c>
      <c r="CM55" s="82">
        <v>1.2999999999999999E-2</v>
      </c>
      <c r="CN55" s="82">
        <v>1.2999999999999999E-2</v>
      </c>
      <c r="CO55" s="82">
        <v>1.2999999999999999E-2</v>
      </c>
      <c r="CP55" s="82">
        <v>1.2999999999999999E-2</v>
      </c>
      <c r="CQ55" s="82">
        <v>1.2999999999999999E-2</v>
      </c>
      <c r="CR55" s="82">
        <v>1.2999999999999999E-2</v>
      </c>
      <c r="CS55" s="82">
        <v>1.2999999999999999E-2</v>
      </c>
      <c r="CT55" s="82">
        <v>1.2999999999999999E-2</v>
      </c>
      <c r="CU55" s="82">
        <v>1.2999999999999999E-2</v>
      </c>
      <c r="CV55" s="82">
        <v>1.2999999999999999E-2</v>
      </c>
      <c r="CW55" s="82">
        <v>1.2999999999999999E-2</v>
      </c>
      <c r="CX55" s="82">
        <v>1.2999999999999999E-2</v>
      </c>
      <c r="CY55" s="82">
        <v>1.2999999999999999E-2</v>
      </c>
      <c r="CZ55" s="82">
        <v>1.2999999999999999E-2</v>
      </c>
      <c r="DA55" s="82">
        <v>1.2999999999999999E-2</v>
      </c>
      <c r="DB55" s="82">
        <v>1.2999999999999999E-2</v>
      </c>
      <c r="DC55" s="82">
        <v>1.2999999999999999E-2</v>
      </c>
      <c r="DD55" s="82">
        <v>1.2999999999999999E-2</v>
      </c>
      <c r="DE55" s="82">
        <v>1.2999999999999999E-2</v>
      </c>
      <c r="DF55" s="82">
        <v>1.2999999999999999E-2</v>
      </c>
      <c r="DG55" s="82">
        <v>1.2999999999999999E-2</v>
      </c>
      <c r="DH55" s="82">
        <v>1.2999999999999999E-2</v>
      </c>
      <c r="DI55" s="82">
        <v>1.2999999999999999E-2</v>
      </c>
      <c r="DJ55" s="82">
        <v>1.2999999999999999E-2</v>
      </c>
      <c r="DK55" s="82">
        <v>1.2999999999999999E-2</v>
      </c>
      <c r="DL55" s="82">
        <v>1.2999999999999999E-2</v>
      </c>
      <c r="DM55" s="82">
        <v>1.2999999999999999E-2</v>
      </c>
      <c r="DN55" s="82">
        <v>1.2999999999999999E-2</v>
      </c>
      <c r="DO55" s="82">
        <v>1.2999999999999999E-2</v>
      </c>
      <c r="DP55" s="82">
        <v>1.2999999999999999E-2</v>
      </c>
      <c r="DQ55" s="82">
        <v>1.2999999999999999E-2</v>
      </c>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row>
    <row r="56" spans="17:147" x14ac:dyDescent="0.25">
      <c r="T56" s="61"/>
      <c r="U56" s="129">
        <v>22.5</v>
      </c>
      <c r="V56" s="130">
        <v>130</v>
      </c>
      <c r="W56" s="130"/>
      <c r="X56" s="130"/>
      <c r="Y56" s="130"/>
      <c r="Z56" s="130"/>
      <c r="AA56" s="63"/>
      <c r="AB56" s="130"/>
      <c r="AC56" s="147" t="s">
        <v>714</v>
      </c>
      <c r="AD56" s="148"/>
      <c r="AE56" s="130">
        <f>IF(AE53&gt;0,6.75,3.375)</f>
        <v>3.375</v>
      </c>
      <c r="AF56" s="61"/>
      <c r="AG56" s="91">
        <v>-0.6</v>
      </c>
      <c r="AH56" s="91"/>
      <c r="AI56" s="91"/>
      <c r="AJ56" s="92"/>
      <c r="AL56" s="68">
        <v>55</v>
      </c>
      <c r="AM56" s="69">
        <v>-1</v>
      </c>
      <c r="AN56" s="69"/>
      <c r="AO56" s="61"/>
      <c r="AP56" s="61"/>
      <c r="AQ56" s="61"/>
      <c r="AR56" s="61"/>
      <c r="AS56" s="91">
        <v>0.3</v>
      </c>
      <c r="AT56" s="91"/>
      <c r="AU56" s="91"/>
      <c r="AV56" s="91"/>
      <c r="AW56" s="92"/>
      <c r="AX56" s="91"/>
      <c r="AY56" s="61"/>
      <c r="BM56" s="76">
        <v>2.71</v>
      </c>
      <c r="BN56" s="75">
        <v>1</v>
      </c>
      <c r="BO56" s="75"/>
      <c r="BP56" s="77">
        <v>2.5000000000000001E-2</v>
      </c>
      <c r="BQ56" s="75">
        <v>0.375</v>
      </c>
      <c r="BR56" s="75"/>
      <c r="BS56" s="77">
        <v>2.5000000000000001E-2</v>
      </c>
      <c r="BT56" s="75">
        <v>-0.3</v>
      </c>
      <c r="BU56" s="75"/>
      <c r="BV56" s="78"/>
      <c r="BW56" s="82"/>
      <c r="BX56" s="133">
        <v>23</v>
      </c>
      <c r="BY56" s="133">
        <v>135</v>
      </c>
      <c r="BZ56" s="133">
        <v>125</v>
      </c>
      <c r="CA56" s="133">
        <v>40</v>
      </c>
      <c r="CB56" s="133" t="s">
        <v>115</v>
      </c>
      <c r="CC56" s="57" t="s">
        <v>59</v>
      </c>
      <c r="CD56" s="57">
        <v>19</v>
      </c>
      <c r="CI56" s="82">
        <v>1.4E-2</v>
      </c>
      <c r="CJ56" s="82">
        <v>1.4E-2</v>
      </c>
      <c r="CK56" s="82">
        <v>1.4E-2</v>
      </c>
      <c r="CL56" s="82">
        <v>1.4E-2</v>
      </c>
      <c r="CM56" s="82">
        <v>1.4E-2</v>
      </c>
      <c r="CN56" s="82">
        <v>1.4E-2</v>
      </c>
      <c r="CO56" s="82">
        <v>1.4E-2</v>
      </c>
      <c r="CP56" s="82">
        <v>1.4E-2</v>
      </c>
      <c r="CQ56" s="82">
        <v>1.4E-2</v>
      </c>
      <c r="CR56" s="82">
        <v>1.4E-2</v>
      </c>
      <c r="CS56" s="82">
        <v>1.4E-2</v>
      </c>
      <c r="CT56" s="82">
        <v>1.4E-2</v>
      </c>
      <c r="CU56" s="82">
        <v>1.4E-2</v>
      </c>
      <c r="CV56" s="82">
        <v>1.4E-2</v>
      </c>
      <c r="CW56" s="82">
        <v>1.4E-2</v>
      </c>
      <c r="CX56" s="82">
        <v>1.4E-2</v>
      </c>
      <c r="CY56" s="82">
        <v>1.4E-2</v>
      </c>
      <c r="CZ56" s="82">
        <v>1.4E-2</v>
      </c>
      <c r="DA56" s="82">
        <v>1.4E-2</v>
      </c>
      <c r="DB56" s="82">
        <v>1.4E-2</v>
      </c>
      <c r="DC56" s="82">
        <v>1.4E-2</v>
      </c>
      <c r="DD56" s="82">
        <v>1.4E-2</v>
      </c>
      <c r="DE56" s="82">
        <v>1.4E-2</v>
      </c>
      <c r="DF56" s="82">
        <v>1.4E-2</v>
      </c>
      <c r="DG56" s="82">
        <v>1.4E-2</v>
      </c>
      <c r="DH56" s="82">
        <v>1.4E-2</v>
      </c>
      <c r="DI56" s="82">
        <v>1.4E-2</v>
      </c>
      <c r="DJ56" s="82">
        <v>1.4E-2</v>
      </c>
      <c r="DK56" s="82">
        <v>1.4E-2</v>
      </c>
      <c r="DL56" s="82">
        <v>1.4E-2</v>
      </c>
      <c r="DM56" s="82">
        <v>1.4E-2</v>
      </c>
      <c r="DN56" s="82">
        <v>1.4E-2</v>
      </c>
      <c r="DO56" s="82">
        <v>1.4E-2</v>
      </c>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row>
    <row r="57" spans="17:147" x14ac:dyDescent="0.25">
      <c r="T57" s="61"/>
      <c r="U57" s="129">
        <v>23</v>
      </c>
      <c r="V57" s="130">
        <v>135</v>
      </c>
      <c r="W57" s="130"/>
      <c r="X57" s="130"/>
      <c r="Y57" s="130"/>
      <c r="Z57" s="130"/>
      <c r="AA57" s="63"/>
      <c r="AB57" s="130"/>
      <c r="AC57" s="147" t="s">
        <v>735</v>
      </c>
      <c r="AD57" s="148"/>
      <c r="AE57" s="130">
        <f>IF(AE53&gt;0%,((AE55+(AE56-AE55)*ABS(AE53))),((AE55-(AE55-AE56)*ABS(AE53))))</f>
        <v>4.9359374999999996</v>
      </c>
      <c r="AF57" s="61"/>
      <c r="AG57" s="91">
        <v>-0.45</v>
      </c>
      <c r="AH57" s="91"/>
      <c r="AI57" s="91"/>
      <c r="AJ57" s="92"/>
      <c r="AL57" s="68"/>
      <c r="AM57" s="61"/>
      <c r="AN57" s="61"/>
      <c r="AO57" s="61"/>
      <c r="AP57" s="61"/>
      <c r="AQ57" s="61"/>
      <c r="AR57" s="61" t="s">
        <v>723</v>
      </c>
      <c r="AS57" s="91">
        <v>0.4</v>
      </c>
      <c r="AT57" s="91"/>
      <c r="AU57" s="91"/>
      <c r="AV57" s="91"/>
      <c r="AW57" s="92"/>
      <c r="AX57" s="91"/>
      <c r="AY57" s="61"/>
      <c r="BM57" s="76">
        <v>2.72</v>
      </c>
      <c r="BN57" s="75">
        <v>1</v>
      </c>
      <c r="BO57" s="75"/>
      <c r="BP57" s="77">
        <v>2.5999999999999999E-2</v>
      </c>
      <c r="BQ57" s="75">
        <v>0.35</v>
      </c>
      <c r="BR57" s="75"/>
      <c r="BS57" s="77">
        <v>2.5999999999999999E-2</v>
      </c>
      <c r="BT57" s="75">
        <v>-0.33</v>
      </c>
      <c r="BU57" s="75"/>
      <c r="BV57" s="78"/>
      <c r="BW57" s="82"/>
      <c r="BX57" s="133">
        <v>23.5</v>
      </c>
      <c r="BY57" s="133">
        <v>140</v>
      </c>
      <c r="BZ57" s="133">
        <v>125</v>
      </c>
      <c r="CA57" s="133">
        <v>40</v>
      </c>
      <c r="CB57" s="133" t="s">
        <v>116</v>
      </c>
      <c r="CC57" s="57" t="s">
        <v>59</v>
      </c>
      <c r="CD57" s="57">
        <v>20</v>
      </c>
      <c r="CI57" s="82">
        <v>1.4999999999999999E-2</v>
      </c>
      <c r="CJ57" s="82">
        <v>1.4999999999999999E-2</v>
      </c>
      <c r="CK57" s="82">
        <v>1.4999999999999999E-2</v>
      </c>
      <c r="CL57" s="82">
        <v>1.4999999999999999E-2</v>
      </c>
      <c r="CM57" s="82">
        <v>1.4999999999999999E-2</v>
      </c>
      <c r="CN57" s="82">
        <v>1.4999999999999999E-2</v>
      </c>
      <c r="CO57" s="82">
        <v>1.4999999999999999E-2</v>
      </c>
      <c r="CP57" s="82">
        <v>1.4999999999999999E-2</v>
      </c>
      <c r="CQ57" s="82">
        <v>1.4999999999999999E-2</v>
      </c>
      <c r="CR57" s="82">
        <v>1.4999999999999999E-2</v>
      </c>
      <c r="CS57" s="82">
        <v>1.4999999999999999E-2</v>
      </c>
      <c r="CT57" s="82">
        <v>1.4999999999999999E-2</v>
      </c>
      <c r="CU57" s="82">
        <v>1.4999999999999999E-2</v>
      </c>
      <c r="CV57" s="82">
        <v>1.4999999999999999E-2</v>
      </c>
      <c r="CW57" s="82">
        <v>1.4999999999999999E-2</v>
      </c>
      <c r="CX57" s="82">
        <v>1.4999999999999999E-2</v>
      </c>
      <c r="CY57" s="82">
        <v>1.4999999999999999E-2</v>
      </c>
      <c r="CZ57" s="82">
        <v>1.4999999999999999E-2</v>
      </c>
      <c r="DA57" s="82">
        <v>1.4999999999999999E-2</v>
      </c>
      <c r="DB57" s="82">
        <v>1.4999999999999999E-2</v>
      </c>
      <c r="DC57" s="82">
        <v>1.4999999999999999E-2</v>
      </c>
      <c r="DD57" s="82">
        <v>1.4999999999999999E-2</v>
      </c>
      <c r="DE57" s="82">
        <v>1.4999999999999999E-2</v>
      </c>
      <c r="DF57" s="82">
        <v>1.4999999999999999E-2</v>
      </c>
      <c r="DG57" s="82">
        <v>1.4999999999999999E-2</v>
      </c>
      <c r="DH57" s="82">
        <v>1.4999999999999999E-2</v>
      </c>
      <c r="DI57" s="82">
        <v>1.4999999999999999E-2</v>
      </c>
      <c r="DJ57" s="82">
        <v>1.4999999999999999E-2</v>
      </c>
      <c r="DK57" s="82">
        <v>1.4999999999999999E-2</v>
      </c>
      <c r="DL57" s="82">
        <v>1.4999999999999999E-2</v>
      </c>
      <c r="DM57" s="82">
        <v>1.4999999999999999E-2</v>
      </c>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row>
    <row r="58" spans="17:147" x14ac:dyDescent="0.25">
      <c r="T58" s="61"/>
      <c r="U58" s="129">
        <v>23.5</v>
      </c>
      <c r="V58" s="130">
        <v>140</v>
      </c>
      <c r="W58" s="130"/>
      <c r="X58" s="130"/>
      <c r="Y58" s="130"/>
      <c r="Z58" s="130"/>
      <c r="AA58" s="63"/>
      <c r="AB58" s="130"/>
      <c r="AC58" s="147" t="s">
        <v>717</v>
      </c>
      <c r="AD58" s="148"/>
      <c r="AE58" s="130" t="b">
        <f>VLOOKUP(G13,BF31:BG32,2,FALSE)</f>
        <v>0</v>
      </c>
      <c r="AF58" s="61"/>
      <c r="AG58" s="91">
        <v>-0.3</v>
      </c>
      <c r="AH58" s="91"/>
      <c r="AI58" s="91"/>
      <c r="AJ58" s="92"/>
      <c r="AL58" s="68"/>
      <c r="AM58" s="61"/>
      <c r="AN58" s="148" t="s">
        <v>37</v>
      </c>
      <c r="AO58" s="148"/>
      <c r="AP58" s="130"/>
      <c r="AQ58" s="61"/>
      <c r="AR58" s="61"/>
      <c r="AS58" s="91">
        <v>0.5</v>
      </c>
      <c r="AT58" s="91"/>
      <c r="AU58" s="91"/>
      <c r="AV58" s="91"/>
      <c r="AW58" s="92"/>
      <c r="AX58" s="91"/>
      <c r="AY58" s="61"/>
      <c r="BM58" s="76">
        <v>2.73</v>
      </c>
      <c r="BN58" s="75">
        <v>1</v>
      </c>
      <c r="BO58" s="75"/>
      <c r="BP58" s="77">
        <v>2.7E-2</v>
      </c>
      <c r="BQ58" s="75">
        <v>0.32500000000000001</v>
      </c>
      <c r="BR58" s="75"/>
      <c r="BS58" s="77">
        <v>2.7E-2</v>
      </c>
      <c r="BT58" s="75">
        <v>-0.36</v>
      </c>
      <c r="BU58" s="75"/>
      <c r="BV58" s="78"/>
      <c r="BW58" s="82"/>
      <c r="BX58" s="133">
        <v>24</v>
      </c>
      <c r="BY58" s="133">
        <v>145</v>
      </c>
      <c r="BZ58" s="133">
        <v>125</v>
      </c>
      <c r="CA58" s="133">
        <v>40</v>
      </c>
      <c r="CB58" s="133" t="s">
        <v>117</v>
      </c>
      <c r="CC58" s="57" t="s">
        <v>59</v>
      </c>
      <c r="CD58" s="57">
        <v>21</v>
      </c>
      <c r="CI58" s="82">
        <v>1.6E-2</v>
      </c>
      <c r="CJ58" s="82">
        <v>1.6E-2</v>
      </c>
      <c r="CK58" s="82">
        <v>1.6E-2</v>
      </c>
      <c r="CL58" s="82">
        <v>1.6E-2</v>
      </c>
      <c r="CM58" s="82">
        <v>1.6E-2</v>
      </c>
      <c r="CN58" s="82">
        <v>1.6E-2</v>
      </c>
      <c r="CO58" s="82">
        <v>1.6E-2</v>
      </c>
      <c r="CP58" s="82">
        <v>1.6E-2</v>
      </c>
      <c r="CQ58" s="82">
        <v>1.6E-2</v>
      </c>
      <c r="CR58" s="82">
        <v>1.6E-2</v>
      </c>
      <c r="CS58" s="82">
        <v>1.6E-2</v>
      </c>
      <c r="CT58" s="82">
        <v>1.6E-2</v>
      </c>
      <c r="CU58" s="82">
        <v>1.6E-2</v>
      </c>
      <c r="CV58" s="82">
        <v>1.6E-2</v>
      </c>
      <c r="CW58" s="82">
        <v>1.6E-2</v>
      </c>
      <c r="CX58" s="82">
        <v>1.6E-2</v>
      </c>
      <c r="CY58" s="82">
        <v>1.6E-2</v>
      </c>
      <c r="CZ58" s="82">
        <v>1.6E-2</v>
      </c>
      <c r="DA58" s="82">
        <v>1.6E-2</v>
      </c>
      <c r="DB58" s="82">
        <v>1.6E-2</v>
      </c>
      <c r="DC58" s="82">
        <v>1.6E-2</v>
      </c>
      <c r="DD58" s="82">
        <v>1.6E-2</v>
      </c>
      <c r="DE58" s="82">
        <v>1.6E-2</v>
      </c>
      <c r="DF58" s="82">
        <v>1.6E-2</v>
      </c>
      <c r="DG58" s="82">
        <v>1.6E-2</v>
      </c>
      <c r="DH58" s="82">
        <v>1.6E-2</v>
      </c>
      <c r="DI58" s="82">
        <v>1.6E-2</v>
      </c>
      <c r="DJ58" s="82">
        <v>1.6E-2</v>
      </c>
      <c r="DK58" s="82">
        <v>1.6E-2</v>
      </c>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row>
    <row r="59" spans="17:147" x14ac:dyDescent="0.25">
      <c r="T59" s="61"/>
      <c r="U59" s="129">
        <v>24</v>
      </c>
      <c r="V59" s="130">
        <v>145</v>
      </c>
      <c r="W59" s="130"/>
      <c r="X59" s="130"/>
      <c r="Y59" s="130"/>
      <c r="Z59" s="130"/>
      <c r="AA59" s="63"/>
      <c r="AB59" s="130"/>
      <c r="AC59" s="147" t="s">
        <v>713</v>
      </c>
      <c r="AD59" s="148"/>
      <c r="AE59" s="130">
        <f>0+(AE54*3.375)</f>
        <v>1.6875</v>
      </c>
      <c r="AF59" s="61"/>
      <c r="AG59" s="91">
        <v>-0.15</v>
      </c>
      <c r="AH59" s="91"/>
      <c r="AI59" s="91"/>
      <c r="AJ59" s="92"/>
      <c r="AL59" s="68"/>
      <c r="AM59" s="61"/>
      <c r="AN59" s="148" t="s">
        <v>38</v>
      </c>
      <c r="AO59" s="148"/>
      <c r="AP59" s="97">
        <f>VLOOKUP(E19,AL31:AM56,2,FALSE)</f>
        <v>0</v>
      </c>
      <c r="AQ59" s="61"/>
      <c r="AR59" s="61"/>
      <c r="AS59" s="91">
        <v>0.6</v>
      </c>
      <c r="AT59" s="91"/>
      <c r="AU59" s="91"/>
      <c r="AV59" s="91"/>
      <c r="AW59" s="92"/>
      <c r="AX59" s="91"/>
      <c r="AY59" s="61"/>
      <c r="BM59" s="76">
        <v>2.74</v>
      </c>
      <c r="BN59" s="75">
        <v>1</v>
      </c>
      <c r="BO59" s="75"/>
      <c r="BP59" s="77">
        <v>2.8000000000000001E-2</v>
      </c>
      <c r="BQ59" s="75">
        <v>0.3</v>
      </c>
      <c r="BR59" s="75"/>
      <c r="BS59" s="77">
        <v>2.8000000000000001E-2</v>
      </c>
      <c r="BT59" s="75">
        <v>-0.39</v>
      </c>
      <c r="BU59" s="75"/>
      <c r="BV59" s="78"/>
      <c r="BW59" s="82"/>
      <c r="BX59" s="133">
        <v>24.5</v>
      </c>
      <c r="BY59" s="133">
        <v>150</v>
      </c>
      <c r="BZ59" s="133">
        <v>125</v>
      </c>
      <c r="CA59" s="133">
        <v>40</v>
      </c>
      <c r="CB59" s="133" t="s">
        <v>118</v>
      </c>
      <c r="CC59" s="57" t="s">
        <v>59</v>
      </c>
      <c r="CD59" s="57">
        <v>22</v>
      </c>
      <c r="CI59" s="82">
        <v>1.7000000000000001E-2</v>
      </c>
      <c r="CJ59" s="82">
        <v>1.7000000000000001E-2</v>
      </c>
      <c r="CK59" s="82">
        <v>1.7000000000000001E-2</v>
      </c>
      <c r="CL59" s="82">
        <v>1.7000000000000001E-2</v>
      </c>
      <c r="CM59" s="82">
        <v>1.7000000000000001E-2</v>
      </c>
      <c r="CN59" s="82">
        <v>1.7000000000000001E-2</v>
      </c>
      <c r="CO59" s="82">
        <v>1.7000000000000001E-2</v>
      </c>
      <c r="CP59" s="82">
        <v>1.7000000000000001E-2</v>
      </c>
      <c r="CQ59" s="82">
        <v>1.7000000000000001E-2</v>
      </c>
      <c r="CR59" s="82">
        <v>1.7000000000000001E-2</v>
      </c>
      <c r="CS59" s="82">
        <v>1.7000000000000001E-2</v>
      </c>
      <c r="CT59" s="82">
        <v>1.7000000000000001E-2</v>
      </c>
      <c r="CU59" s="82">
        <v>1.7000000000000001E-2</v>
      </c>
      <c r="CV59" s="82">
        <v>1.7000000000000001E-2</v>
      </c>
      <c r="CW59" s="82">
        <v>1.7000000000000001E-2</v>
      </c>
      <c r="CX59" s="82">
        <v>1.7000000000000001E-2</v>
      </c>
      <c r="CY59" s="82">
        <v>1.7000000000000001E-2</v>
      </c>
      <c r="CZ59" s="82">
        <v>1.7000000000000001E-2</v>
      </c>
      <c r="DA59" s="82">
        <v>1.7000000000000001E-2</v>
      </c>
      <c r="DB59" s="82">
        <v>1.7000000000000001E-2</v>
      </c>
      <c r="DC59" s="82">
        <v>1.7000000000000001E-2</v>
      </c>
      <c r="DD59" s="82">
        <v>1.7000000000000001E-2</v>
      </c>
      <c r="DE59" s="82">
        <v>1.7000000000000001E-2</v>
      </c>
      <c r="DF59" s="82">
        <v>1.7000000000000001E-2</v>
      </c>
      <c r="DG59" s="82">
        <v>1.7000000000000001E-2</v>
      </c>
      <c r="DH59" s="82">
        <v>1.7000000000000001E-2</v>
      </c>
      <c r="DI59" s="82">
        <v>1.7000000000000001E-2</v>
      </c>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row>
    <row r="60" spans="17:147" x14ac:dyDescent="0.25">
      <c r="T60" s="61"/>
      <c r="U60" s="129">
        <v>24.5</v>
      </c>
      <c r="V60" s="130">
        <v>150</v>
      </c>
      <c r="W60" s="130"/>
      <c r="X60" s="130"/>
      <c r="Y60" s="130"/>
      <c r="Z60" s="130"/>
      <c r="AA60" s="63"/>
      <c r="AB60" s="130"/>
      <c r="AC60" s="147" t="s">
        <v>714</v>
      </c>
      <c r="AD60" s="148"/>
      <c r="AE60" s="130">
        <f>IF(AE53&gt;0,0,3.375)</f>
        <v>3.375</v>
      </c>
      <c r="AF60" s="61" t="s">
        <v>54</v>
      </c>
      <c r="AG60" s="91">
        <v>0</v>
      </c>
      <c r="AH60" s="91"/>
      <c r="AI60" s="91"/>
      <c r="AJ60" s="92"/>
      <c r="AL60" s="68"/>
      <c r="AM60" s="61"/>
      <c r="AN60" s="148" t="s">
        <v>39</v>
      </c>
      <c r="AO60" s="148"/>
      <c r="AP60" s="97">
        <f>VLOOKUP(E20,AO31:AP51,2,FALSE)</f>
        <v>-0.15</v>
      </c>
      <c r="AQ60" s="61"/>
      <c r="AR60" s="61"/>
      <c r="AS60" s="91">
        <v>0.7</v>
      </c>
      <c r="AT60" s="91"/>
      <c r="AU60" s="91"/>
      <c r="AV60" s="91"/>
      <c r="AW60" s="92"/>
      <c r="AX60" s="91"/>
      <c r="AY60" s="61"/>
      <c r="BM60" s="76">
        <v>2.75</v>
      </c>
      <c r="BN60" s="75">
        <v>1</v>
      </c>
      <c r="BO60" s="75"/>
      <c r="BP60" s="77">
        <v>2.9000000000000001E-2</v>
      </c>
      <c r="BQ60" s="75">
        <v>0.27500000000000002</v>
      </c>
      <c r="BR60" s="75"/>
      <c r="BS60" s="77">
        <v>2.9000000000000001E-2</v>
      </c>
      <c r="BT60" s="75">
        <v>-0.42</v>
      </c>
      <c r="BU60" s="75"/>
      <c r="BV60" s="78"/>
      <c r="BW60" s="82"/>
      <c r="BX60" s="133">
        <v>25</v>
      </c>
      <c r="BY60" s="133">
        <v>155</v>
      </c>
      <c r="BZ60" s="133">
        <v>125</v>
      </c>
      <c r="CA60" s="133">
        <v>40</v>
      </c>
      <c r="CB60" s="133" t="s">
        <v>119</v>
      </c>
      <c r="CC60" s="57" t="s">
        <v>59</v>
      </c>
      <c r="CD60" s="57">
        <v>23</v>
      </c>
      <c r="CI60" s="82">
        <v>1.7999999999999999E-2</v>
      </c>
      <c r="CJ60" s="82">
        <v>1.7999999999999999E-2</v>
      </c>
      <c r="CK60" s="82">
        <v>1.7999999999999999E-2</v>
      </c>
      <c r="CL60" s="82">
        <v>1.7999999999999999E-2</v>
      </c>
      <c r="CM60" s="82">
        <v>1.7999999999999999E-2</v>
      </c>
      <c r="CN60" s="82">
        <v>1.7999999999999999E-2</v>
      </c>
      <c r="CO60" s="82">
        <v>1.7999999999999999E-2</v>
      </c>
      <c r="CP60" s="82">
        <v>1.7999999999999999E-2</v>
      </c>
      <c r="CQ60" s="82">
        <v>1.7999999999999999E-2</v>
      </c>
      <c r="CR60" s="82">
        <v>1.7999999999999999E-2</v>
      </c>
      <c r="CS60" s="82">
        <v>1.7999999999999999E-2</v>
      </c>
      <c r="CT60" s="82">
        <v>1.7999999999999999E-2</v>
      </c>
      <c r="CU60" s="82">
        <v>1.7999999999999999E-2</v>
      </c>
      <c r="CV60" s="82">
        <v>1.7999999999999999E-2</v>
      </c>
      <c r="CW60" s="82">
        <v>1.7999999999999999E-2</v>
      </c>
      <c r="CX60" s="82">
        <v>1.7999999999999999E-2</v>
      </c>
      <c r="CY60" s="82">
        <v>1.7999999999999999E-2</v>
      </c>
      <c r="CZ60" s="82">
        <v>1.7999999999999999E-2</v>
      </c>
      <c r="DA60" s="82">
        <v>1.7999999999999999E-2</v>
      </c>
      <c r="DB60" s="82">
        <v>1.7999999999999999E-2</v>
      </c>
      <c r="DC60" s="82">
        <v>1.7999999999999999E-2</v>
      </c>
      <c r="DD60" s="82">
        <v>1.7999999999999999E-2</v>
      </c>
      <c r="DE60" s="82">
        <v>1.7999999999999999E-2</v>
      </c>
      <c r="DF60" s="82">
        <v>1.7999999999999999E-2</v>
      </c>
      <c r="DG60" s="82">
        <v>1.7999999999999999E-2</v>
      </c>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row>
    <row r="61" spans="17:147" x14ac:dyDescent="0.25">
      <c r="T61" s="61"/>
      <c r="U61" s="129">
        <v>25</v>
      </c>
      <c r="V61" s="130">
        <v>155</v>
      </c>
      <c r="W61" s="130"/>
      <c r="X61" s="130"/>
      <c r="Y61" s="130"/>
      <c r="Z61" s="130"/>
      <c r="AA61" s="63"/>
      <c r="AB61" s="130"/>
      <c r="AC61" s="147" t="s">
        <v>734</v>
      </c>
      <c r="AD61" s="148"/>
      <c r="AE61" s="130">
        <f>IF(AE53&gt;0%,((AE59-((AE59-AE60)*ABS(AE53)))),((AE59+((AE60-AE59)*ABS(AE53)))))</f>
        <v>1.8140624999999999</v>
      </c>
      <c r="AF61" s="61"/>
      <c r="AG61" s="91">
        <v>0.15</v>
      </c>
      <c r="AH61" s="91"/>
      <c r="AI61" s="91"/>
      <c r="AJ61" s="92"/>
      <c r="AL61" s="68"/>
      <c r="AM61" s="61"/>
      <c r="AN61" s="148" t="s">
        <v>47</v>
      </c>
      <c r="AO61" s="148"/>
      <c r="AP61" s="97">
        <f>VLOOKUP(E21,AR31:AS37,2,FALSE)</f>
        <v>0</v>
      </c>
      <c r="AQ61" s="61"/>
      <c r="AR61" s="61" t="s">
        <v>725</v>
      </c>
      <c r="AS61" s="91">
        <v>0.8</v>
      </c>
      <c r="AT61" s="91"/>
      <c r="AU61" s="91"/>
      <c r="AV61" s="91"/>
      <c r="AW61" s="92"/>
      <c r="AX61" s="91"/>
      <c r="AY61" s="61"/>
      <c r="BM61" s="76">
        <v>2.76</v>
      </c>
      <c r="BN61" s="75">
        <v>1</v>
      </c>
      <c r="BO61" s="75"/>
      <c r="BP61" s="77">
        <v>0.03</v>
      </c>
      <c r="BQ61" s="75">
        <v>0.25</v>
      </c>
      <c r="BR61" s="75"/>
      <c r="BS61" s="77">
        <v>0.03</v>
      </c>
      <c r="BT61" s="75">
        <v>-0.45</v>
      </c>
      <c r="BU61" s="75"/>
      <c r="BV61" s="78"/>
      <c r="BW61" s="82"/>
      <c r="BX61" s="133">
        <v>10</v>
      </c>
      <c r="BY61" s="133">
        <v>5</v>
      </c>
      <c r="BZ61" s="133">
        <v>150</v>
      </c>
      <c r="CA61" s="133">
        <v>45</v>
      </c>
      <c r="CB61" s="133" t="s">
        <v>120</v>
      </c>
      <c r="CC61" s="57" t="s">
        <v>62</v>
      </c>
      <c r="CD61" s="57">
        <v>-8</v>
      </c>
      <c r="CI61" s="82">
        <v>1.9E-2</v>
      </c>
      <c r="CJ61" s="82">
        <v>1.9E-2</v>
      </c>
      <c r="CK61" s="82">
        <v>1.9E-2</v>
      </c>
      <c r="CL61" s="82">
        <v>1.9E-2</v>
      </c>
      <c r="CM61" s="82">
        <v>1.9E-2</v>
      </c>
      <c r="CN61" s="82">
        <v>1.9E-2</v>
      </c>
      <c r="CO61" s="82">
        <v>1.9E-2</v>
      </c>
      <c r="CP61" s="82">
        <v>1.9E-2</v>
      </c>
      <c r="CQ61" s="82">
        <v>1.9E-2</v>
      </c>
      <c r="CR61" s="82">
        <v>1.9E-2</v>
      </c>
      <c r="CS61" s="82">
        <v>1.9E-2</v>
      </c>
      <c r="CT61" s="82">
        <v>1.9E-2</v>
      </c>
      <c r="CU61" s="82">
        <v>1.9E-2</v>
      </c>
      <c r="CV61" s="82">
        <v>1.9E-2</v>
      </c>
      <c r="CW61" s="82">
        <v>1.9E-2</v>
      </c>
      <c r="CX61" s="82">
        <v>1.9E-2</v>
      </c>
      <c r="CY61" s="82">
        <v>1.9E-2</v>
      </c>
      <c r="CZ61" s="82">
        <v>1.9E-2</v>
      </c>
      <c r="DA61" s="82">
        <v>1.9E-2</v>
      </c>
      <c r="DB61" s="82">
        <v>1.9E-2</v>
      </c>
      <c r="DC61" s="82">
        <v>1.9E-2</v>
      </c>
      <c r="DD61" s="82">
        <v>1.9E-2</v>
      </c>
      <c r="DE61" s="82">
        <v>1.9E-2</v>
      </c>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row>
    <row r="62" spans="17:147" x14ac:dyDescent="0.25">
      <c r="T62" s="61"/>
      <c r="U62" s="129"/>
      <c r="V62" s="130"/>
      <c r="W62" s="130"/>
      <c r="X62" s="130"/>
      <c r="Y62" s="130"/>
      <c r="Z62" s="130"/>
      <c r="AA62" s="63"/>
      <c r="AB62" s="130"/>
      <c r="AC62" s="147" t="s">
        <v>738</v>
      </c>
      <c r="AD62" s="148"/>
      <c r="AE62" s="130">
        <f>IF(AE58=TRUE,AE61,AE57)</f>
        <v>4.9359374999999996</v>
      </c>
      <c r="AF62" s="61"/>
      <c r="AG62" s="91">
        <v>0.3</v>
      </c>
      <c r="AH62" s="91"/>
      <c r="AI62" s="91"/>
      <c r="AJ62" s="92"/>
      <c r="AL62" s="68"/>
      <c r="AM62" s="61"/>
      <c r="AN62" s="148" t="s">
        <v>720</v>
      </c>
      <c r="AO62" s="148"/>
      <c r="AP62" s="97">
        <f>((AP59*0.45)+(AP60*0.25)+(AP61*0.3))</f>
        <v>-3.7499999999999999E-2</v>
      </c>
      <c r="AQ62" s="61"/>
      <c r="AR62" s="61"/>
      <c r="AS62" s="61"/>
      <c r="AT62" s="61"/>
      <c r="AU62" s="61"/>
      <c r="AV62" s="61"/>
      <c r="AW62" s="80"/>
      <c r="AX62" s="61"/>
      <c r="AY62" s="61"/>
      <c r="BM62" s="76">
        <v>2.77</v>
      </c>
      <c r="BN62" s="75">
        <v>1</v>
      </c>
      <c r="BO62" s="75"/>
      <c r="BP62" s="77">
        <v>3.1E-2</v>
      </c>
      <c r="BQ62" s="75">
        <v>0.22500000000000001</v>
      </c>
      <c r="BR62" s="75"/>
      <c r="BU62" s="75"/>
      <c r="BV62" s="78"/>
      <c r="BX62" s="133">
        <v>10.5</v>
      </c>
      <c r="BY62" s="133">
        <v>10</v>
      </c>
      <c r="BZ62" s="133">
        <v>150</v>
      </c>
      <c r="CA62" s="133">
        <v>45</v>
      </c>
      <c r="CB62" s="133" t="s">
        <v>121</v>
      </c>
      <c r="CC62" s="57" t="s">
        <v>62</v>
      </c>
      <c r="CD62" s="57">
        <v>-7</v>
      </c>
      <c r="CI62" s="82">
        <v>0.02</v>
      </c>
      <c r="CJ62" s="82">
        <v>0.02</v>
      </c>
      <c r="CK62" s="82">
        <v>0.02</v>
      </c>
      <c r="CL62" s="82">
        <v>0.02</v>
      </c>
      <c r="CM62" s="82">
        <v>0.02</v>
      </c>
      <c r="CN62" s="82">
        <v>0.02</v>
      </c>
      <c r="CO62" s="82">
        <v>0.02</v>
      </c>
      <c r="CP62" s="82">
        <v>0.02</v>
      </c>
      <c r="CQ62" s="82">
        <v>0.02</v>
      </c>
      <c r="CR62" s="82">
        <v>0.02</v>
      </c>
      <c r="CS62" s="82">
        <v>0.02</v>
      </c>
      <c r="CT62" s="82">
        <v>0.02</v>
      </c>
      <c r="CU62" s="82">
        <v>0.02</v>
      </c>
      <c r="CV62" s="82">
        <v>0.02</v>
      </c>
      <c r="CW62" s="82">
        <v>0.02</v>
      </c>
      <c r="CX62" s="82">
        <v>0.02</v>
      </c>
      <c r="CY62" s="82">
        <v>0.02</v>
      </c>
      <c r="CZ62" s="82">
        <v>0.02</v>
      </c>
      <c r="DA62" s="82">
        <v>0.02</v>
      </c>
      <c r="DB62" s="82">
        <v>0.02</v>
      </c>
      <c r="DC62" s="82">
        <v>0.02</v>
      </c>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row>
    <row r="63" spans="17:147" x14ac:dyDescent="0.25">
      <c r="T63" s="61"/>
      <c r="U63" s="147" t="s">
        <v>27</v>
      </c>
      <c r="V63" s="148"/>
      <c r="W63" s="148"/>
      <c r="X63" s="61"/>
      <c r="Y63" s="148" t="s">
        <v>709</v>
      </c>
      <c r="Z63" s="148"/>
      <c r="AA63" s="63"/>
      <c r="AB63" s="130"/>
      <c r="AC63" s="129"/>
      <c r="AD63" s="130"/>
      <c r="AE63" s="130"/>
      <c r="AF63" s="61"/>
      <c r="AG63" s="91">
        <v>0.45</v>
      </c>
      <c r="AH63" s="91"/>
      <c r="AI63" s="91"/>
      <c r="AJ63" s="92"/>
      <c r="AL63" s="68"/>
      <c r="AM63" s="61"/>
      <c r="AN63" s="148" t="s">
        <v>712</v>
      </c>
      <c r="AO63" s="148"/>
      <c r="AP63" s="64">
        <f>VLOOKUP(G14,AY31:AZ35,2,FALSE)</f>
        <v>0.5</v>
      </c>
      <c r="AQ63" s="61"/>
      <c r="AR63" s="61"/>
      <c r="AS63" s="130"/>
      <c r="AT63" s="130"/>
      <c r="AU63" s="130"/>
      <c r="AV63" s="130"/>
      <c r="AW63" s="63"/>
      <c r="AX63" s="130"/>
      <c r="AY63" s="61"/>
      <c r="BM63" s="76">
        <v>2.78</v>
      </c>
      <c r="BN63" s="75">
        <v>1</v>
      </c>
      <c r="BO63" s="75"/>
      <c r="BP63" s="77">
        <v>3.2000000000000001E-2</v>
      </c>
      <c r="BQ63" s="75">
        <v>0.2</v>
      </c>
      <c r="BR63" s="75"/>
      <c r="BU63" s="75"/>
      <c r="BV63" s="78"/>
      <c r="BX63" s="133">
        <v>11</v>
      </c>
      <c r="BY63" s="133">
        <v>15</v>
      </c>
      <c r="BZ63" s="133">
        <v>150</v>
      </c>
      <c r="CA63" s="133">
        <v>45</v>
      </c>
      <c r="CB63" s="133" t="s">
        <v>122</v>
      </c>
      <c r="CC63" s="57" t="s">
        <v>61</v>
      </c>
      <c r="CD63" s="57">
        <v>-6</v>
      </c>
      <c r="CI63" s="82">
        <v>2.1000000000000001E-2</v>
      </c>
      <c r="CJ63" s="82">
        <v>2.1000000000000001E-2</v>
      </c>
      <c r="CK63" s="82">
        <v>2.1000000000000001E-2</v>
      </c>
      <c r="CL63" s="82">
        <v>2.1000000000000001E-2</v>
      </c>
      <c r="CM63" s="82">
        <v>2.1000000000000001E-2</v>
      </c>
      <c r="CN63" s="82">
        <v>2.1000000000000001E-2</v>
      </c>
      <c r="CO63" s="82">
        <v>2.1000000000000001E-2</v>
      </c>
      <c r="CP63" s="82">
        <v>2.1000000000000001E-2</v>
      </c>
      <c r="CQ63" s="82">
        <v>2.1000000000000001E-2</v>
      </c>
      <c r="CR63" s="82">
        <v>2.1000000000000001E-2</v>
      </c>
      <c r="CS63" s="82">
        <v>2.1000000000000001E-2</v>
      </c>
      <c r="CT63" s="82">
        <v>2.1000000000000001E-2</v>
      </c>
      <c r="CU63" s="82">
        <v>2.1000000000000001E-2</v>
      </c>
      <c r="CV63" s="82">
        <v>2.1000000000000001E-2</v>
      </c>
      <c r="CW63" s="82">
        <v>2.1000000000000001E-2</v>
      </c>
      <c r="CX63" s="82">
        <v>2.1000000000000001E-2</v>
      </c>
      <c r="CY63" s="82">
        <v>2.1000000000000001E-2</v>
      </c>
      <c r="CZ63" s="82">
        <v>2.1000000000000001E-2</v>
      </c>
      <c r="DA63" s="82">
        <v>2.1000000000000001E-2</v>
      </c>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row>
    <row r="64" spans="17:147" x14ac:dyDescent="0.25">
      <c r="T64" s="61"/>
      <c r="U64" s="147" t="s">
        <v>28</v>
      </c>
      <c r="V64" s="148"/>
      <c r="W64" s="98">
        <f>VLOOKUP(E13,U31:V61,2,FALSE)</f>
        <v>75</v>
      </c>
      <c r="X64" s="130"/>
      <c r="Y64" s="130">
        <v>-26</v>
      </c>
      <c r="Z64" s="64">
        <v>1</v>
      </c>
      <c r="AA64" s="99"/>
      <c r="AB64" s="91"/>
      <c r="AC64" s="129"/>
      <c r="AD64" s="130"/>
      <c r="AE64" s="130"/>
      <c r="AF64" s="61" t="s">
        <v>31</v>
      </c>
      <c r="AG64" s="91">
        <v>0.6</v>
      </c>
      <c r="AH64" s="91"/>
      <c r="AI64" s="91"/>
      <c r="AJ64" s="92"/>
      <c r="AL64" s="68"/>
      <c r="AM64" s="61"/>
      <c r="AN64" s="148" t="s">
        <v>713</v>
      </c>
      <c r="AO64" s="148"/>
      <c r="AP64" s="100">
        <f>6.75-(AP63*3.375)</f>
        <v>5.0625</v>
      </c>
      <c r="AQ64" s="61"/>
      <c r="AR64" s="61"/>
      <c r="AS64" s="61"/>
      <c r="AT64" s="61"/>
      <c r="AU64" s="61"/>
      <c r="AV64" s="61"/>
      <c r="AW64" s="80"/>
      <c r="AX64" s="61"/>
      <c r="AY64" s="61"/>
      <c r="BM64" s="76">
        <v>2.79</v>
      </c>
      <c r="BN64" s="75">
        <v>1</v>
      </c>
      <c r="BO64" s="75"/>
      <c r="BP64" s="77">
        <v>3.3000000000000002E-2</v>
      </c>
      <c r="BQ64" s="75">
        <v>0.17499999999999999</v>
      </c>
      <c r="BR64" s="75"/>
      <c r="BU64" s="75"/>
      <c r="BV64" s="78"/>
      <c r="BX64" s="133">
        <v>11.5</v>
      </c>
      <c r="BY64" s="133">
        <v>20</v>
      </c>
      <c r="BZ64" s="133">
        <v>150</v>
      </c>
      <c r="CA64" s="133">
        <v>45</v>
      </c>
      <c r="CB64" s="133" t="s">
        <v>123</v>
      </c>
      <c r="CC64" s="57" t="s">
        <v>61</v>
      </c>
      <c r="CD64" s="57">
        <v>-5</v>
      </c>
      <c r="CI64" s="82">
        <v>2.1999999999999999E-2</v>
      </c>
      <c r="CJ64" s="82">
        <v>2.1999999999999999E-2</v>
      </c>
      <c r="CK64" s="82">
        <v>2.1999999999999999E-2</v>
      </c>
      <c r="CL64" s="82">
        <v>2.1999999999999999E-2</v>
      </c>
      <c r="CM64" s="82">
        <v>2.1999999999999999E-2</v>
      </c>
      <c r="CN64" s="82">
        <v>2.1999999999999999E-2</v>
      </c>
      <c r="CO64" s="82">
        <v>2.1999999999999999E-2</v>
      </c>
      <c r="CP64" s="82">
        <v>2.1999999999999999E-2</v>
      </c>
      <c r="CQ64" s="82">
        <v>2.1999999999999999E-2</v>
      </c>
      <c r="CR64" s="82">
        <v>2.1999999999999999E-2</v>
      </c>
      <c r="CS64" s="82">
        <v>2.1999999999999999E-2</v>
      </c>
      <c r="CT64" s="82">
        <v>2.1999999999999999E-2</v>
      </c>
      <c r="CU64" s="82">
        <v>2.1999999999999999E-2</v>
      </c>
      <c r="CV64" s="82">
        <v>2.1999999999999999E-2</v>
      </c>
      <c r="CW64" s="82">
        <v>2.1999999999999999E-2</v>
      </c>
      <c r="CX64" s="82">
        <v>2.1999999999999999E-2</v>
      </c>
      <c r="CY64" s="82">
        <v>2.1999999999999999E-2</v>
      </c>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row>
    <row r="65" spans="20:147" x14ac:dyDescent="0.25">
      <c r="T65" s="61"/>
      <c r="U65" s="147" t="s">
        <v>29</v>
      </c>
      <c r="V65" s="148"/>
      <c r="W65" s="130">
        <f>VLOOKUP(E14,X31:Y51,2,FALSE)</f>
        <v>75</v>
      </c>
      <c r="X65" s="61"/>
      <c r="Y65" s="130">
        <v>-25</v>
      </c>
      <c r="Z65" s="64">
        <v>1</v>
      </c>
      <c r="AA65" s="99"/>
      <c r="AB65" s="91"/>
      <c r="AC65" s="129"/>
      <c r="AD65" s="130"/>
      <c r="AE65" s="130"/>
      <c r="AF65" s="61"/>
      <c r="AG65" s="91">
        <v>0.75</v>
      </c>
      <c r="AH65" s="91"/>
      <c r="AI65" s="91"/>
      <c r="AJ65" s="92"/>
      <c r="AL65" s="68"/>
      <c r="AM65" s="61"/>
      <c r="AN65" s="148" t="s">
        <v>714</v>
      </c>
      <c r="AO65" s="148"/>
      <c r="AP65" s="130">
        <f>IF(AP62&gt;0,6.75,3.375)</f>
        <v>3.375</v>
      </c>
      <c r="AQ65" s="61"/>
      <c r="AR65" s="61"/>
      <c r="AS65" s="61"/>
      <c r="AT65" s="61"/>
      <c r="AU65" s="61"/>
      <c r="AV65" s="61"/>
      <c r="AW65" s="80"/>
      <c r="AX65" s="61"/>
      <c r="AY65" s="61"/>
      <c r="BM65" s="76">
        <v>2.8</v>
      </c>
      <c r="BN65" s="75">
        <v>1</v>
      </c>
      <c r="BO65" s="75"/>
      <c r="BP65" s="77">
        <v>3.4000000000000002E-2</v>
      </c>
      <c r="BQ65" s="75">
        <v>0.15</v>
      </c>
      <c r="BR65" s="75"/>
      <c r="BU65" s="75"/>
      <c r="BV65" s="78"/>
      <c r="BX65" s="133">
        <v>12</v>
      </c>
      <c r="BY65" s="133">
        <v>25</v>
      </c>
      <c r="BZ65" s="133">
        <v>150</v>
      </c>
      <c r="CA65" s="133">
        <v>45</v>
      </c>
      <c r="CB65" s="133" t="s">
        <v>124</v>
      </c>
      <c r="CC65" s="57" t="s">
        <v>61</v>
      </c>
      <c r="CD65" s="57">
        <v>-4</v>
      </c>
      <c r="CI65" s="82">
        <v>2.3E-2</v>
      </c>
      <c r="CJ65" s="82">
        <v>2.3E-2</v>
      </c>
      <c r="CK65" s="82">
        <v>2.3E-2</v>
      </c>
      <c r="CL65" s="82">
        <v>2.3E-2</v>
      </c>
      <c r="CM65" s="82">
        <v>2.3E-2</v>
      </c>
      <c r="CN65" s="82">
        <v>2.3E-2</v>
      </c>
      <c r="CO65" s="82">
        <v>2.3E-2</v>
      </c>
      <c r="CP65" s="82">
        <v>2.3E-2</v>
      </c>
      <c r="CQ65" s="82">
        <v>2.3E-2</v>
      </c>
      <c r="CR65" s="82">
        <v>2.3E-2</v>
      </c>
      <c r="CS65" s="82">
        <v>2.3E-2</v>
      </c>
      <c r="CT65" s="82">
        <v>2.3E-2</v>
      </c>
      <c r="CU65" s="82">
        <v>2.3E-2</v>
      </c>
      <c r="CV65" s="82">
        <v>2.3E-2</v>
      </c>
      <c r="CW65" s="82">
        <v>2.3E-2</v>
      </c>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row>
    <row r="66" spans="20:147" x14ac:dyDescent="0.25">
      <c r="T66" s="61"/>
      <c r="U66" s="147" t="s">
        <v>30</v>
      </c>
      <c r="V66" s="148"/>
      <c r="W66" s="100">
        <f>(W64/W65)</f>
        <v>1</v>
      </c>
      <c r="X66" s="61"/>
      <c r="Y66" s="130">
        <v>-24</v>
      </c>
      <c r="Z66" s="64">
        <v>1</v>
      </c>
      <c r="AA66" s="99"/>
      <c r="AB66" s="91"/>
      <c r="AC66" s="129"/>
      <c r="AD66" s="130"/>
      <c r="AE66" s="130"/>
      <c r="AF66" s="61"/>
      <c r="AG66" s="91">
        <v>0.9</v>
      </c>
      <c r="AH66" s="91"/>
      <c r="AI66" s="91"/>
      <c r="AJ66" s="92"/>
      <c r="AL66" s="68"/>
      <c r="AM66" s="61"/>
      <c r="AN66" s="148" t="s">
        <v>735</v>
      </c>
      <c r="AO66" s="148"/>
      <c r="AP66" s="130">
        <f>IF(AP62&lt;0%,((AP64-((AP64-AP65)*ABS(AP62)))),((AP64+((AP65-AP64)*ABS(AP62)))))</f>
        <v>4.9992187499999998</v>
      </c>
      <c r="AQ66" s="61"/>
      <c r="AR66" s="61"/>
      <c r="AS66" s="61"/>
      <c r="AT66" s="61"/>
      <c r="AU66" s="61"/>
      <c r="AV66" s="61"/>
      <c r="AW66" s="80"/>
      <c r="AX66" s="61"/>
      <c r="AY66" s="61"/>
      <c r="BM66" s="68"/>
      <c r="BN66" s="61"/>
      <c r="BO66" s="61"/>
      <c r="BP66" s="77">
        <v>3.5000000000000003E-2</v>
      </c>
      <c r="BQ66" s="75">
        <v>0.125</v>
      </c>
      <c r="BR66" s="75"/>
      <c r="BU66" s="75"/>
      <c r="BV66" s="78"/>
      <c r="BX66" s="133">
        <v>12.5</v>
      </c>
      <c r="BY66" s="133">
        <v>30</v>
      </c>
      <c r="BZ66" s="133">
        <v>150</v>
      </c>
      <c r="CA66" s="133">
        <v>45</v>
      </c>
      <c r="CB66" s="133" t="s">
        <v>125</v>
      </c>
      <c r="CC66" s="57" t="s">
        <v>60</v>
      </c>
      <c r="CD66" s="57">
        <v>-3</v>
      </c>
      <c r="CI66" s="82">
        <v>2.4E-2</v>
      </c>
      <c r="CJ66" s="82">
        <v>2.4E-2</v>
      </c>
      <c r="CK66" s="82">
        <v>2.4E-2</v>
      </c>
      <c r="CL66" s="82">
        <v>2.4E-2</v>
      </c>
      <c r="CM66" s="82">
        <v>2.4E-2</v>
      </c>
      <c r="CN66" s="82">
        <v>2.4E-2</v>
      </c>
      <c r="CO66" s="82">
        <v>2.4E-2</v>
      </c>
      <c r="CP66" s="82">
        <v>2.4E-2</v>
      </c>
      <c r="CQ66" s="82">
        <v>2.4E-2</v>
      </c>
      <c r="CR66" s="82">
        <v>2.4E-2</v>
      </c>
      <c r="CS66" s="82">
        <v>2.4E-2</v>
      </c>
      <c r="CT66" s="82">
        <v>2.4E-2</v>
      </c>
      <c r="CU66" s="82">
        <v>2.4E-2</v>
      </c>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row>
    <row r="67" spans="20:147" x14ac:dyDescent="0.25">
      <c r="T67" s="61"/>
      <c r="U67" s="147" t="s">
        <v>65</v>
      </c>
      <c r="V67" s="148"/>
      <c r="W67" s="130">
        <f>VLOOKUP(E13&amp;"|"&amp;E14,CB7:CD649,3,FALSE)</f>
        <v>0</v>
      </c>
      <c r="X67" s="61"/>
      <c r="Y67" s="130">
        <v>-23</v>
      </c>
      <c r="Z67" s="64">
        <v>1</v>
      </c>
      <c r="AA67" s="99"/>
      <c r="AB67" s="91"/>
      <c r="AC67" s="129"/>
      <c r="AD67" s="130"/>
      <c r="AE67" s="130"/>
      <c r="AF67" s="61"/>
      <c r="AG67" s="91">
        <v>1</v>
      </c>
      <c r="AH67" s="91"/>
      <c r="AI67" s="91"/>
      <c r="AJ67" s="92"/>
      <c r="AL67" s="68"/>
      <c r="AM67" s="61"/>
      <c r="AN67" s="148" t="s">
        <v>717</v>
      </c>
      <c r="AO67" s="148"/>
      <c r="AP67" s="61" t="b">
        <f>VLOOKUP(G13,BF31:BG32,2,FALSE)</f>
        <v>0</v>
      </c>
      <c r="AQ67" s="91"/>
      <c r="AR67" s="61"/>
      <c r="AS67" s="61"/>
      <c r="AT67" s="61"/>
      <c r="AU67" s="61"/>
      <c r="AV67" s="61"/>
      <c r="AW67" s="80"/>
      <c r="AX67" s="61"/>
      <c r="AY67" s="61"/>
      <c r="BM67" s="68"/>
      <c r="BN67" s="61"/>
      <c r="BO67" s="61"/>
      <c r="BP67" s="77">
        <v>3.5999999999999997E-2</v>
      </c>
      <c r="BQ67" s="75">
        <v>0.1</v>
      </c>
      <c r="BR67" s="75"/>
      <c r="BU67" s="75"/>
      <c r="BV67" s="78"/>
      <c r="BX67" s="133">
        <v>13</v>
      </c>
      <c r="BY67" s="133">
        <v>35</v>
      </c>
      <c r="BZ67" s="133">
        <v>150</v>
      </c>
      <c r="CA67" s="133">
        <v>45</v>
      </c>
      <c r="CB67" s="133" t="s">
        <v>126</v>
      </c>
      <c r="CC67" s="57" t="s">
        <v>60</v>
      </c>
      <c r="CD67" s="57">
        <v>-2</v>
      </c>
      <c r="CI67" s="82">
        <v>2.5000000000000001E-2</v>
      </c>
      <c r="CJ67" s="82">
        <v>2.5000000000000001E-2</v>
      </c>
      <c r="CK67" s="82">
        <v>2.5000000000000001E-2</v>
      </c>
      <c r="CL67" s="82">
        <v>2.5000000000000001E-2</v>
      </c>
      <c r="CM67" s="82">
        <v>2.5000000000000001E-2</v>
      </c>
      <c r="CN67" s="82">
        <v>2.5000000000000001E-2</v>
      </c>
      <c r="CO67" s="82">
        <v>2.5000000000000001E-2</v>
      </c>
      <c r="CP67" s="82">
        <v>2.5000000000000001E-2</v>
      </c>
      <c r="CQ67" s="82">
        <v>2.5000000000000001E-2</v>
      </c>
      <c r="CR67" s="82">
        <v>2.5000000000000001E-2</v>
      </c>
      <c r="CS67" s="82">
        <v>2.5000000000000001E-2</v>
      </c>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row>
    <row r="68" spans="20:147" ht="15.75" thickBot="1" x14ac:dyDescent="0.3">
      <c r="T68" s="61"/>
      <c r="U68" s="147" t="s">
        <v>710</v>
      </c>
      <c r="V68" s="148"/>
      <c r="W68" s="64">
        <f>VLOOKUP(W67,Y64:Z114,2,FALSE)</f>
        <v>0</v>
      </c>
      <c r="X68" s="130"/>
      <c r="Y68" s="130">
        <v>-22</v>
      </c>
      <c r="Z68" s="64">
        <v>1</v>
      </c>
      <c r="AA68" s="99"/>
      <c r="AB68" s="91"/>
      <c r="AC68" s="131"/>
      <c r="AD68" s="132"/>
      <c r="AE68" s="132"/>
      <c r="AF68" s="95" t="s">
        <v>3</v>
      </c>
      <c r="AG68" s="101">
        <v>1</v>
      </c>
      <c r="AH68" s="101"/>
      <c r="AI68" s="101"/>
      <c r="AJ68" s="102"/>
      <c r="AL68" s="68"/>
      <c r="AM68" s="61"/>
      <c r="AN68" s="148" t="s">
        <v>713</v>
      </c>
      <c r="AO68" s="148"/>
      <c r="AP68" s="130">
        <f>0+(AP63*3.375)</f>
        <v>1.6875</v>
      </c>
      <c r="AQ68" s="91"/>
      <c r="AR68" s="61"/>
      <c r="AS68" s="61"/>
      <c r="AT68" s="61"/>
      <c r="AU68" s="61"/>
      <c r="AV68" s="61"/>
      <c r="AW68" s="80"/>
      <c r="AX68" s="61"/>
      <c r="AY68" s="61"/>
      <c r="BM68" s="147" t="s">
        <v>51</v>
      </c>
      <c r="BN68" s="148"/>
      <c r="BO68" s="148"/>
      <c r="BP68" s="77">
        <v>3.6999999999999998E-2</v>
      </c>
      <c r="BQ68" s="75">
        <v>7.4999999999999997E-2</v>
      </c>
      <c r="BR68" s="75"/>
      <c r="BU68" s="75"/>
      <c r="BV68" s="78"/>
      <c r="BX68" s="133">
        <v>13.5</v>
      </c>
      <c r="BY68" s="133">
        <v>40</v>
      </c>
      <c r="BZ68" s="133">
        <v>150</v>
      </c>
      <c r="CA68" s="133">
        <v>45</v>
      </c>
      <c r="CB68" s="133" t="s">
        <v>127</v>
      </c>
      <c r="CC68" s="57" t="s">
        <v>60</v>
      </c>
      <c r="CD68" s="57">
        <v>-1</v>
      </c>
      <c r="CI68" s="82">
        <v>2.5999999999999999E-2</v>
      </c>
      <c r="CJ68" s="82">
        <v>2.5999999999999999E-2</v>
      </c>
      <c r="CK68" s="82">
        <v>2.5999999999999999E-2</v>
      </c>
      <c r="CL68" s="82">
        <v>2.5999999999999999E-2</v>
      </c>
      <c r="CM68" s="82">
        <v>2.5999999999999999E-2</v>
      </c>
      <c r="CN68" s="82">
        <v>2.5999999999999999E-2</v>
      </c>
      <c r="CO68" s="82">
        <v>2.5999999999999999E-2</v>
      </c>
      <c r="CP68" s="82">
        <v>2.5999999999999999E-2</v>
      </c>
      <c r="CQ68" s="82">
        <v>2.5999999999999999E-2</v>
      </c>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row>
    <row r="69" spans="20:147" x14ac:dyDescent="0.25">
      <c r="T69" s="61"/>
      <c r="U69" s="147" t="s">
        <v>712</v>
      </c>
      <c r="V69" s="148"/>
      <c r="W69" s="64">
        <f>VLOOKUP(G14,AY31:AZ35,2,FALSE)</f>
        <v>0.5</v>
      </c>
      <c r="X69" s="61"/>
      <c r="Y69" s="130">
        <v>-21</v>
      </c>
      <c r="Z69" s="64">
        <v>1</v>
      </c>
      <c r="AA69" s="99"/>
      <c r="AB69" s="91"/>
      <c r="AK69" s="130"/>
      <c r="AL69" s="68"/>
      <c r="AM69" s="61"/>
      <c r="AN69" s="148" t="s">
        <v>714</v>
      </c>
      <c r="AO69" s="148"/>
      <c r="AP69" s="130">
        <f>IF(AP62&gt;0,0,3.375)</f>
        <v>3.375</v>
      </c>
      <c r="AQ69" s="91"/>
      <c r="AR69" s="61"/>
      <c r="AS69" s="61"/>
      <c r="AT69" s="61"/>
      <c r="AU69" s="61"/>
      <c r="AV69" s="61"/>
      <c r="AW69" s="80"/>
      <c r="AX69" s="61"/>
      <c r="AY69" s="61"/>
      <c r="BM69" s="147" t="s">
        <v>52</v>
      </c>
      <c r="BN69" s="148"/>
      <c r="BO69" s="64">
        <f>VLOOKUP(G19,BM31:BN65,2,FALSE)</f>
        <v>-0.5</v>
      </c>
      <c r="BP69" s="77">
        <v>3.7999999999999999E-2</v>
      </c>
      <c r="BQ69" s="75">
        <v>0.05</v>
      </c>
      <c r="BR69" s="75"/>
      <c r="BU69" s="75"/>
      <c r="BV69" s="78"/>
      <c r="BX69" s="133">
        <v>14</v>
      </c>
      <c r="BY69" s="133">
        <v>45</v>
      </c>
      <c r="BZ69" s="133">
        <v>150</v>
      </c>
      <c r="CA69" s="133">
        <v>45</v>
      </c>
      <c r="CB69" s="133" t="s">
        <v>128</v>
      </c>
      <c r="CC69" s="57" t="s">
        <v>54</v>
      </c>
      <c r="CD69" s="57">
        <v>0</v>
      </c>
      <c r="CI69" s="82">
        <v>2.7E-2</v>
      </c>
      <c r="CJ69" s="82">
        <v>2.7E-2</v>
      </c>
      <c r="CK69" s="82">
        <v>2.7E-2</v>
      </c>
      <c r="CL69" s="82">
        <v>2.7E-2</v>
      </c>
      <c r="CM69" s="82">
        <v>2.7E-2</v>
      </c>
      <c r="CN69" s="82">
        <v>2.7E-2</v>
      </c>
      <c r="CO69" s="82">
        <v>2.7E-2</v>
      </c>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row>
    <row r="70" spans="20:147" x14ac:dyDescent="0.25">
      <c r="T70" s="61"/>
      <c r="U70" s="147" t="s">
        <v>713</v>
      </c>
      <c r="V70" s="148"/>
      <c r="W70" s="130">
        <f>6.75-(W69*3.375)</f>
        <v>5.0625</v>
      </c>
      <c r="X70" s="61"/>
      <c r="Y70" s="130">
        <v>-20</v>
      </c>
      <c r="Z70" s="64">
        <v>1</v>
      </c>
      <c r="AA70" s="99"/>
      <c r="AB70" s="91"/>
      <c r="AK70" s="130"/>
      <c r="AL70" s="68"/>
      <c r="AM70" s="61"/>
      <c r="AN70" s="148" t="s">
        <v>734</v>
      </c>
      <c r="AO70" s="148"/>
      <c r="AP70" s="130">
        <f>IF(AP62&lt;0%,((AP68+((AP69-AP68)*ABS(AP62)))),((AP68-((AP68-AP69)*ABS(AP62)))))</f>
        <v>1.75078125</v>
      </c>
      <c r="AQ70" s="91"/>
      <c r="AR70" s="61"/>
      <c r="AS70" s="61"/>
      <c r="AT70" s="61"/>
      <c r="AU70" s="61"/>
      <c r="AV70" s="61"/>
      <c r="AW70" s="80"/>
      <c r="AX70" s="61"/>
      <c r="AY70" s="61"/>
      <c r="BM70" s="147" t="s">
        <v>53</v>
      </c>
      <c r="BN70" s="148"/>
      <c r="BO70" s="64">
        <f>VLOOKUP(G20,BP31:BQ91,2,FALSE)</f>
        <v>-0.25</v>
      </c>
      <c r="BP70" s="77">
        <v>3.9E-2</v>
      </c>
      <c r="BQ70" s="75">
        <v>2.5000000000000001E-2</v>
      </c>
      <c r="BR70" s="75"/>
      <c r="BS70" s="183" t="s">
        <v>709</v>
      </c>
      <c r="BT70" s="183"/>
      <c r="BU70" s="61"/>
      <c r="BV70" s="80"/>
      <c r="BX70" s="133">
        <v>14.5</v>
      </c>
      <c r="BY70" s="133">
        <v>50</v>
      </c>
      <c r="BZ70" s="133">
        <v>150</v>
      </c>
      <c r="CA70" s="133">
        <v>45</v>
      </c>
      <c r="CB70" s="133" t="s">
        <v>129</v>
      </c>
      <c r="CC70" s="57" t="s">
        <v>55</v>
      </c>
      <c r="CD70" s="57">
        <v>1</v>
      </c>
      <c r="CI70" s="82">
        <v>2.8000000000000001E-2</v>
      </c>
      <c r="CJ70" s="82">
        <v>2.8000000000000001E-2</v>
      </c>
      <c r="CK70" s="82">
        <v>2.8000000000000001E-2</v>
      </c>
      <c r="CL70" s="82">
        <v>2.8000000000000001E-2</v>
      </c>
      <c r="CM70" s="82">
        <v>2.8000000000000001E-2</v>
      </c>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row>
    <row r="71" spans="20:147" ht="15.75" thickBot="1" x14ac:dyDescent="0.3">
      <c r="T71" s="61"/>
      <c r="U71" s="147" t="s">
        <v>714</v>
      </c>
      <c r="V71" s="148"/>
      <c r="W71" s="130">
        <f>IF(W68&gt;0,6.75,3.375)</f>
        <v>3.375</v>
      </c>
      <c r="X71" s="61"/>
      <c r="Y71" s="130">
        <v>-19</v>
      </c>
      <c r="Z71" s="64">
        <v>1</v>
      </c>
      <c r="AA71" s="99"/>
      <c r="AB71" s="91"/>
      <c r="AK71" s="130"/>
      <c r="AL71" s="103"/>
      <c r="AM71" s="95"/>
      <c r="AN71" s="149" t="s">
        <v>738</v>
      </c>
      <c r="AO71" s="149"/>
      <c r="AP71" s="132">
        <f>IF(AP67=TRUE,AP70,AP66)</f>
        <v>4.9992187499999998</v>
      </c>
      <c r="AQ71" s="101"/>
      <c r="AR71" s="95"/>
      <c r="AS71" s="95"/>
      <c r="AT71" s="95"/>
      <c r="AU71" s="95"/>
      <c r="AV71" s="95"/>
      <c r="AW71" s="96"/>
      <c r="AX71" s="61"/>
      <c r="AY71" s="61"/>
      <c r="BM71" s="147" t="s">
        <v>852</v>
      </c>
      <c r="BN71" s="148"/>
      <c r="BO71" s="64">
        <f>VLOOKUP(G21,BS31:BT61,2,FALSE)</f>
        <v>0.45</v>
      </c>
      <c r="BP71" s="77">
        <v>0.04</v>
      </c>
      <c r="BQ71" s="75">
        <v>0</v>
      </c>
      <c r="BR71" s="75"/>
      <c r="BS71" s="77" t="s">
        <v>758</v>
      </c>
      <c r="BT71" s="75">
        <v>-0.9</v>
      </c>
      <c r="BU71" s="61"/>
      <c r="BV71" s="80"/>
      <c r="BX71" s="133">
        <v>15</v>
      </c>
      <c r="BY71" s="133">
        <v>55</v>
      </c>
      <c r="BZ71" s="133">
        <v>150</v>
      </c>
      <c r="CA71" s="133">
        <v>45</v>
      </c>
      <c r="CB71" s="133" t="s">
        <v>130</v>
      </c>
      <c r="CC71" s="57" t="s">
        <v>55</v>
      </c>
      <c r="CD71" s="57">
        <v>2</v>
      </c>
      <c r="CI71" s="82">
        <v>2.9000000000000001E-2</v>
      </c>
      <c r="CJ71" s="82">
        <v>2.9000000000000001E-2</v>
      </c>
      <c r="CK71" s="82">
        <v>2.9000000000000001E-2</v>
      </c>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row>
    <row r="72" spans="20:147" x14ac:dyDescent="0.25">
      <c r="T72" s="61"/>
      <c r="U72" s="147" t="s">
        <v>735</v>
      </c>
      <c r="V72" s="148"/>
      <c r="W72" s="130">
        <f>IF(W68&gt;0,(((W71-W70)*W68)+W70),(W70-((W70-W71)*ABS(W68))))</f>
        <v>5.0625</v>
      </c>
      <c r="X72" s="61"/>
      <c r="Y72" s="130">
        <v>-18</v>
      </c>
      <c r="Z72" s="64">
        <v>1</v>
      </c>
      <c r="AA72" s="99"/>
      <c r="AB72" s="91"/>
      <c r="AL72" s="130"/>
      <c r="AM72" s="61"/>
      <c r="AN72" s="61"/>
      <c r="AO72" s="61"/>
      <c r="AP72" s="61"/>
      <c r="AQ72" s="91"/>
      <c r="AR72" s="61"/>
      <c r="AS72" s="61"/>
      <c r="AT72" s="61"/>
      <c r="AU72" s="61"/>
      <c r="AV72" s="61"/>
      <c r="AW72" s="61"/>
      <c r="AX72" s="61"/>
      <c r="AY72" s="61"/>
      <c r="BM72" s="147" t="s">
        <v>729</v>
      </c>
      <c r="BN72" s="148"/>
      <c r="BO72" s="64">
        <f>((BO69*0.3)+(BO70*0.45)+(BO71*0.25))</f>
        <v>-0.15000000000000002</v>
      </c>
      <c r="BP72" s="77">
        <v>4.1000000000000002E-2</v>
      </c>
      <c r="BQ72" s="75">
        <v>-0.05</v>
      </c>
      <c r="BR72" s="75"/>
      <c r="BS72" s="77"/>
      <c r="BT72" s="75">
        <v>-0.8</v>
      </c>
      <c r="BU72" s="61"/>
      <c r="BV72" s="80"/>
      <c r="BX72" s="133">
        <v>15.5</v>
      </c>
      <c r="BY72" s="133">
        <v>60</v>
      </c>
      <c r="BZ72" s="133">
        <v>150</v>
      </c>
      <c r="CA72" s="133">
        <v>45</v>
      </c>
      <c r="CB72" s="133" t="s">
        <v>131</v>
      </c>
      <c r="CC72" s="57" t="s">
        <v>55</v>
      </c>
      <c r="CD72" s="57">
        <v>3</v>
      </c>
      <c r="CI72" s="82">
        <v>0.03</v>
      </c>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row>
    <row r="73" spans="20:147" x14ac:dyDescent="0.25">
      <c r="T73" s="61"/>
      <c r="U73" s="147" t="s">
        <v>717</v>
      </c>
      <c r="V73" s="148"/>
      <c r="W73" s="130" t="b">
        <f>VLOOKUP(G13,BF31:BG32,2,FALSE)</f>
        <v>0</v>
      </c>
      <c r="X73" s="61"/>
      <c r="Y73" s="130">
        <v>-17</v>
      </c>
      <c r="Z73" s="64">
        <v>1</v>
      </c>
      <c r="AA73" s="99"/>
      <c r="AB73" s="91"/>
      <c r="AL73" s="130"/>
      <c r="AM73" s="61"/>
      <c r="AN73" s="61"/>
      <c r="AO73" s="61"/>
      <c r="AP73" s="61"/>
      <c r="AQ73" s="91"/>
      <c r="AR73" s="61"/>
      <c r="AS73" s="61"/>
      <c r="AT73" s="61"/>
      <c r="AU73" s="61"/>
      <c r="AV73" s="61"/>
      <c r="AW73" s="61"/>
      <c r="AX73" s="61"/>
      <c r="AY73" s="61"/>
      <c r="BM73" s="147" t="s">
        <v>712</v>
      </c>
      <c r="BN73" s="148"/>
      <c r="BO73" s="64">
        <f>VLOOKUP(G14,AY31:AZ35,2,FALSE)</f>
        <v>0.5</v>
      </c>
      <c r="BP73" s="77">
        <v>4.2000000000000003E-2</v>
      </c>
      <c r="BQ73" s="75">
        <v>-0.05</v>
      </c>
      <c r="BR73" s="75"/>
      <c r="BS73" s="77"/>
      <c r="BT73" s="75">
        <v>-0.7</v>
      </c>
      <c r="BU73" s="61"/>
      <c r="BV73" s="80"/>
      <c r="BX73" s="133">
        <v>16</v>
      </c>
      <c r="BY73" s="133">
        <v>65</v>
      </c>
      <c r="BZ73" s="133">
        <v>150</v>
      </c>
      <c r="CA73" s="133">
        <v>45</v>
      </c>
      <c r="CB73" s="133" t="s">
        <v>132</v>
      </c>
      <c r="CC73" s="57" t="s">
        <v>56</v>
      </c>
      <c r="CD73" s="57">
        <v>4</v>
      </c>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row>
    <row r="74" spans="20:147" x14ac:dyDescent="0.25">
      <c r="T74" s="61"/>
      <c r="U74" s="147" t="s">
        <v>65</v>
      </c>
      <c r="V74" s="148"/>
      <c r="W74" s="130">
        <f>VLOOKUP(E13&amp;"|"&amp;E14,CB7:CD649,3,FALSE)</f>
        <v>0</v>
      </c>
      <c r="X74" s="61"/>
      <c r="Y74" s="130">
        <v>-16</v>
      </c>
      <c r="Z74" s="64">
        <v>1</v>
      </c>
      <c r="AA74" s="99"/>
      <c r="AB74" s="91"/>
      <c r="AL74" s="130"/>
      <c r="AM74" s="61"/>
      <c r="AN74" s="61"/>
      <c r="AO74" s="61"/>
      <c r="AP74" s="61"/>
      <c r="AQ74" s="91"/>
      <c r="AR74" s="61"/>
      <c r="AS74" s="61"/>
      <c r="AT74" s="61"/>
      <c r="AU74" s="61"/>
      <c r="AV74" s="61"/>
      <c r="AW74" s="61"/>
      <c r="AX74" s="61"/>
      <c r="AY74" s="61"/>
      <c r="BM74" s="147" t="s">
        <v>713</v>
      </c>
      <c r="BN74" s="148"/>
      <c r="BO74" s="130">
        <f>6.75-(BO73*3.375)</f>
        <v>5.0625</v>
      </c>
      <c r="BP74" s="77">
        <v>4.2999999999999997E-2</v>
      </c>
      <c r="BQ74" s="75">
        <v>-7.4999999999999997E-2</v>
      </c>
      <c r="BR74" s="75"/>
      <c r="BS74" s="77"/>
      <c r="BT74" s="75">
        <v>-0.6</v>
      </c>
      <c r="BU74" s="61"/>
      <c r="BV74" s="80"/>
      <c r="BX74" s="133">
        <v>16.5</v>
      </c>
      <c r="BY74" s="133">
        <v>70</v>
      </c>
      <c r="BZ74" s="133">
        <v>150</v>
      </c>
      <c r="CA74" s="133">
        <v>45</v>
      </c>
      <c r="CB74" s="133" t="s">
        <v>133</v>
      </c>
      <c r="CC74" s="57" t="s">
        <v>56</v>
      </c>
      <c r="CD74" s="57">
        <v>5</v>
      </c>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row>
    <row r="75" spans="20:147" x14ac:dyDescent="0.25">
      <c r="T75" s="61"/>
      <c r="U75" s="147" t="s">
        <v>710</v>
      </c>
      <c r="V75" s="148"/>
      <c r="W75" s="64">
        <f>VLOOKUP(W67,Y64:Z114,2,FALSE)</f>
        <v>0</v>
      </c>
      <c r="X75" s="61"/>
      <c r="Y75" s="130">
        <v>-15</v>
      </c>
      <c r="Z75" s="64">
        <v>1</v>
      </c>
      <c r="AA75" s="99"/>
      <c r="AB75" s="91"/>
      <c r="AL75" s="130"/>
      <c r="AM75" s="61"/>
      <c r="AN75" s="61"/>
      <c r="AO75" s="61"/>
      <c r="AP75" s="61"/>
      <c r="AQ75" s="91"/>
      <c r="AR75" s="61"/>
      <c r="AS75" s="61"/>
      <c r="AT75" s="61"/>
      <c r="AU75" s="61"/>
      <c r="AV75" s="61"/>
      <c r="AW75" s="61"/>
      <c r="AX75" s="61"/>
      <c r="AY75" s="61"/>
      <c r="BM75" s="147" t="s">
        <v>714</v>
      </c>
      <c r="BN75" s="148"/>
      <c r="BO75" s="130">
        <f>IF(BO72&lt;0,6.75,3.375)</f>
        <v>6.75</v>
      </c>
      <c r="BP75" s="77">
        <v>4.3999999999999997E-2</v>
      </c>
      <c r="BQ75" s="75">
        <v>-0.1</v>
      </c>
      <c r="BR75" s="75"/>
      <c r="BS75" s="77" t="s">
        <v>757</v>
      </c>
      <c r="BT75" s="75">
        <v>-0.5</v>
      </c>
      <c r="BU75" s="61"/>
      <c r="BV75" s="80"/>
      <c r="BX75" s="133">
        <v>17</v>
      </c>
      <c r="BY75" s="133">
        <v>75</v>
      </c>
      <c r="BZ75" s="133">
        <v>150</v>
      </c>
      <c r="CA75" s="133">
        <v>45</v>
      </c>
      <c r="CB75" s="133" t="s">
        <v>134</v>
      </c>
      <c r="CC75" s="57" t="s">
        <v>56</v>
      </c>
      <c r="CD75" s="57">
        <v>6</v>
      </c>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row>
    <row r="76" spans="20:147" x14ac:dyDescent="0.25">
      <c r="T76" s="61"/>
      <c r="U76" s="147" t="s">
        <v>712</v>
      </c>
      <c r="V76" s="148"/>
      <c r="W76" s="64">
        <f>VLOOKUP(G14,AY31:AZ35,2,FALSE)</f>
        <v>0.5</v>
      </c>
      <c r="X76" s="61"/>
      <c r="Y76" s="130">
        <v>-14</v>
      </c>
      <c r="Z76" s="64">
        <v>1</v>
      </c>
      <c r="AA76" s="99"/>
      <c r="AB76" s="91"/>
      <c r="AL76" s="130"/>
      <c r="AM76" s="61"/>
      <c r="AN76" s="61"/>
      <c r="AO76" s="61"/>
      <c r="AP76" s="61"/>
      <c r="AQ76" s="91"/>
      <c r="AR76" s="61"/>
      <c r="AS76" s="61"/>
      <c r="AT76" s="61"/>
      <c r="AU76" s="61"/>
      <c r="AV76" s="61"/>
      <c r="AW76" s="61"/>
      <c r="AX76" s="61"/>
      <c r="AY76" s="61"/>
      <c r="BM76" s="147" t="s">
        <v>735</v>
      </c>
      <c r="BN76" s="148"/>
      <c r="BO76" s="130">
        <f>IF(BO72&lt;0%,((BO74+((BO75-BO74)*ABS(BO72)))),((BO74-((BO74-BO75)*ABS(BO72)))))</f>
        <v>5.3156249999999998</v>
      </c>
      <c r="BP76" s="77">
        <v>4.4999999999999998E-2</v>
      </c>
      <c r="BQ76" s="75">
        <v>-0.125</v>
      </c>
      <c r="BR76" s="75"/>
      <c r="BS76" s="77"/>
      <c r="BT76" s="75">
        <v>-0.4</v>
      </c>
      <c r="BU76" s="61"/>
      <c r="BV76" s="80"/>
      <c r="BX76" s="133">
        <v>17.5</v>
      </c>
      <c r="BY76" s="133">
        <v>80</v>
      </c>
      <c r="BZ76" s="133">
        <v>150</v>
      </c>
      <c r="CA76" s="133">
        <v>45</v>
      </c>
      <c r="CB76" s="133" t="s">
        <v>135</v>
      </c>
      <c r="CC76" s="57" t="s">
        <v>57</v>
      </c>
      <c r="CD76" s="57">
        <v>7</v>
      </c>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row>
    <row r="77" spans="20:147" x14ac:dyDescent="0.25">
      <c r="T77" s="61"/>
      <c r="U77" s="147" t="s">
        <v>713</v>
      </c>
      <c r="V77" s="148"/>
      <c r="W77" s="130">
        <f>0+(W76*3.375)</f>
        <v>1.6875</v>
      </c>
      <c r="X77" s="61"/>
      <c r="Y77" s="130">
        <v>-13</v>
      </c>
      <c r="Z77" s="64">
        <v>0.97499999999999998</v>
      </c>
      <c r="AA77" s="99"/>
      <c r="AB77" s="91"/>
      <c r="AL77" s="133"/>
      <c r="BM77" s="147" t="s">
        <v>717</v>
      </c>
      <c r="BN77" s="148"/>
      <c r="BO77" s="130" t="b">
        <f>VLOOKUP(G13,BF31:BG32,2,FALSE)</f>
        <v>0</v>
      </c>
      <c r="BP77" s="77">
        <v>4.5999999999999999E-2</v>
      </c>
      <c r="BQ77" s="75">
        <v>-0.15</v>
      </c>
      <c r="BR77" s="75"/>
      <c r="BS77" s="77"/>
      <c r="BT77" s="75">
        <v>-0.3</v>
      </c>
      <c r="BU77" s="61"/>
      <c r="BV77" s="80"/>
      <c r="BX77" s="133">
        <v>18</v>
      </c>
      <c r="BY77" s="133">
        <v>85</v>
      </c>
      <c r="BZ77" s="133">
        <v>150</v>
      </c>
      <c r="CA77" s="133">
        <v>45</v>
      </c>
      <c r="CB77" s="133" t="s">
        <v>136</v>
      </c>
      <c r="CC77" s="57" t="s">
        <v>57</v>
      </c>
      <c r="CD77" s="57">
        <v>8</v>
      </c>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row>
    <row r="78" spans="20:147" x14ac:dyDescent="0.25">
      <c r="T78" s="61"/>
      <c r="U78" s="147" t="s">
        <v>714</v>
      </c>
      <c r="V78" s="148"/>
      <c r="W78" s="130">
        <f>IF(W75&gt;0,0,3.375)</f>
        <v>3.375</v>
      </c>
      <c r="X78" s="61"/>
      <c r="Y78" s="130">
        <v>-12</v>
      </c>
      <c r="Z78" s="64">
        <v>0.9</v>
      </c>
      <c r="AA78" s="99"/>
      <c r="AB78" s="91"/>
      <c r="AL78" s="133"/>
      <c r="BM78" s="147" t="s">
        <v>713</v>
      </c>
      <c r="BN78" s="148"/>
      <c r="BO78" s="130">
        <f>0+(BO73*3.375)</f>
        <v>1.6875</v>
      </c>
      <c r="BP78" s="77">
        <v>4.7E-2</v>
      </c>
      <c r="BQ78" s="75">
        <v>-0.17499999999999999</v>
      </c>
      <c r="BR78" s="75"/>
      <c r="BS78" s="77"/>
      <c r="BT78" s="75">
        <v>-0.2</v>
      </c>
      <c r="BU78" s="61"/>
      <c r="BV78" s="80"/>
      <c r="BX78" s="133">
        <v>18.5</v>
      </c>
      <c r="BY78" s="133">
        <v>90</v>
      </c>
      <c r="BZ78" s="133">
        <v>150</v>
      </c>
      <c r="CA78" s="133">
        <v>45</v>
      </c>
      <c r="CB78" s="133" t="s">
        <v>137</v>
      </c>
      <c r="CC78" s="57" t="s">
        <v>57</v>
      </c>
      <c r="CD78" s="57">
        <v>9</v>
      </c>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row>
    <row r="79" spans="20:147" x14ac:dyDescent="0.25">
      <c r="T79" s="61"/>
      <c r="U79" s="147" t="s">
        <v>734</v>
      </c>
      <c r="V79" s="148"/>
      <c r="W79" s="130">
        <f>IF(W75&gt;0,(((W78-W77)*W75)+W77),(W77-((W77-W78)*ABS(W75))))</f>
        <v>1.6875</v>
      </c>
      <c r="X79" s="61"/>
      <c r="Y79" s="130">
        <v>-11</v>
      </c>
      <c r="Z79" s="64">
        <v>0.82499999999999996</v>
      </c>
      <c r="AA79" s="99"/>
      <c r="AB79" s="91"/>
      <c r="AL79" s="133"/>
      <c r="BM79" s="147" t="s">
        <v>714</v>
      </c>
      <c r="BN79" s="148"/>
      <c r="BO79" s="130">
        <f>IF(BO72&lt;0,0,3.375)</f>
        <v>0</v>
      </c>
      <c r="BP79" s="77">
        <v>4.8000000000000001E-2</v>
      </c>
      <c r="BQ79" s="75">
        <v>-0.2</v>
      </c>
      <c r="BR79" s="75"/>
      <c r="BS79" s="77"/>
      <c r="BT79" s="75">
        <v>-0.1</v>
      </c>
      <c r="BU79" s="61"/>
      <c r="BV79" s="80"/>
      <c r="BX79" s="133">
        <v>19</v>
      </c>
      <c r="BY79" s="133">
        <v>95</v>
      </c>
      <c r="BZ79" s="133">
        <v>150</v>
      </c>
      <c r="CA79" s="133">
        <v>45</v>
      </c>
      <c r="CB79" s="133" t="s">
        <v>138</v>
      </c>
      <c r="CC79" s="57" t="s">
        <v>58</v>
      </c>
      <c r="CD79" s="57">
        <v>10</v>
      </c>
      <c r="CQ79" s="139" t="s">
        <v>721</v>
      </c>
      <c r="CR79" s="139"/>
      <c r="CS79" s="139" t="s">
        <v>991</v>
      </c>
      <c r="CT79" s="139"/>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row>
    <row r="80" spans="20:147" x14ac:dyDescent="0.25">
      <c r="T80" s="61"/>
      <c r="U80" s="147" t="s">
        <v>738</v>
      </c>
      <c r="V80" s="148"/>
      <c r="W80" s="130">
        <f>IF(W73=TRUE,W79,W72)</f>
        <v>5.0625</v>
      </c>
      <c r="X80" s="61"/>
      <c r="Y80" s="130">
        <v>-10</v>
      </c>
      <c r="Z80" s="64">
        <v>0.75</v>
      </c>
      <c r="AA80" s="99"/>
      <c r="AB80" s="91"/>
      <c r="AL80" s="133"/>
      <c r="BM80" s="147" t="s">
        <v>734</v>
      </c>
      <c r="BN80" s="148"/>
      <c r="BO80" s="130">
        <f>IF(BO72&lt;0%,((BO78-(BO78-BO79)*ABS(BO72))),((BO78+(BO79-BO78)*ABS(BO72))))</f>
        <v>1.434375</v>
      </c>
      <c r="BP80" s="77">
        <v>4.9000000000000002E-2</v>
      </c>
      <c r="BQ80" s="75">
        <v>-0.22500000000000001</v>
      </c>
      <c r="BR80" s="75"/>
      <c r="BS80" s="77" t="s">
        <v>759</v>
      </c>
      <c r="BT80" s="75">
        <v>0</v>
      </c>
      <c r="BU80" s="61"/>
      <c r="BV80" s="80"/>
      <c r="BX80" s="133">
        <v>19.5</v>
      </c>
      <c r="BY80" s="133">
        <v>100</v>
      </c>
      <c r="BZ80" s="133">
        <v>150</v>
      </c>
      <c r="CA80" s="133">
        <v>45</v>
      </c>
      <c r="CB80" s="133" t="s">
        <v>139</v>
      </c>
      <c r="CC80" s="57" t="s">
        <v>58</v>
      </c>
      <c r="CD80" s="57">
        <v>11</v>
      </c>
      <c r="CQ80" s="140">
        <f>(G20)</f>
        <v>0.05</v>
      </c>
      <c r="CR80" s="139"/>
      <c r="CS80" s="57">
        <v>0</v>
      </c>
      <c r="CT80" s="57" t="s">
        <v>868</v>
      </c>
      <c r="CV80" s="82"/>
      <c r="CW80" s="82"/>
      <c r="CX80" s="82"/>
      <c r="CY80" s="82"/>
      <c r="CZ80" s="82"/>
      <c r="DA80" s="82"/>
      <c r="DB80" s="82"/>
      <c r="DC80" s="82"/>
      <c r="DD80" s="82"/>
      <c r="DE80" s="82"/>
    </row>
    <row r="81" spans="20:186" x14ac:dyDescent="0.25">
      <c r="T81" s="61"/>
      <c r="U81" s="147"/>
      <c r="V81" s="148"/>
      <c r="W81" s="130"/>
      <c r="X81" s="130"/>
      <c r="Y81" s="130">
        <v>-9</v>
      </c>
      <c r="Z81" s="64">
        <v>0.67500000000000004</v>
      </c>
      <c r="AA81" s="99"/>
      <c r="AB81" s="91"/>
      <c r="AL81" s="133"/>
      <c r="BM81" s="147" t="s">
        <v>738</v>
      </c>
      <c r="BN81" s="148"/>
      <c r="BO81" s="130">
        <f>IF(BO77=TRUE,BO80,BO76)</f>
        <v>5.3156249999999998</v>
      </c>
      <c r="BP81" s="77">
        <v>0.05</v>
      </c>
      <c r="BQ81" s="75">
        <v>-0.25</v>
      </c>
      <c r="BR81" s="75"/>
      <c r="BS81" s="61"/>
      <c r="BT81" s="75">
        <v>0.1</v>
      </c>
      <c r="BU81" s="61"/>
      <c r="BV81" s="80"/>
      <c r="BX81" s="133">
        <v>20</v>
      </c>
      <c r="BY81" s="133">
        <v>105</v>
      </c>
      <c r="BZ81" s="133">
        <v>150</v>
      </c>
      <c r="CA81" s="133">
        <v>45</v>
      </c>
      <c r="CB81" s="133" t="s">
        <v>140</v>
      </c>
      <c r="CC81" s="57" t="s">
        <v>58</v>
      </c>
      <c r="CD81" s="57">
        <v>12</v>
      </c>
      <c r="CI81" s="82" t="e">
        <f>(#REF!)</f>
        <v>#REF!</v>
      </c>
      <c r="CQ81" s="139" t="s">
        <v>992</v>
      </c>
      <c r="CR81" s="139"/>
      <c r="CS81" s="57">
        <v>1E-3</v>
      </c>
      <c r="CT81" s="57" t="s">
        <v>869</v>
      </c>
      <c r="CV81" s="82"/>
      <c r="CW81" s="82"/>
      <c r="CX81" s="82"/>
      <c r="CY81" s="82"/>
      <c r="CZ81" s="82"/>
      <c r="DA81" s="82"/>
      <c r="DB81" s="82"/>
      <c r="DC81" s="82"/>
      <c r="DD81" s="82"/>
      <c r="DE81" s="82"/>
    </row>
    <row r="82" spans="20:186" x14ac:dyDescent="0.25">
      <c r="T82" s="61"/>
      <c r="U82" s="147"/>
      <c r="V82" s="148"/>
      <c r="W82" s="130"/>
      <c r="X82" s="61" t="s">
        <v>62</v>
      </c>
      <c r="Y82" s="130">
        <v>-8</v>
      </c>
      <c r="Z82" s="64">
        <v>0.6</v>
      </c>
      <c r="AA82" s="99"/>
      <c r="AB82" s="130"/>
      <c r="AL82" s="133"/>
      <c r="BM82" s="68"/>
      <c r="BN82" s="61"/>
      <c r="BO82" s="61"/>
      <c r="BP82" s="77">
        <v>5.0999999999999997E-2</v>
      </c>
      <c r="BQ82" s="75">
        <v>-0.27500000000000002</v>
      </c>
      <c r="BR82" s="75"/>
      <c r="BS82" s="61"/>
      <c r="BT82" s="75">
        <v>0.2</v>
      </c>
      <c r="BU82" s="61"/>
      <c r="BV82" s="80"/>
      <c r="BX82" s="133">
        <v>20.5</v>
      </c>
      <c r="BY82" s="133">
        <v>110</v>
      </c>
      <c r="BZ82" s="133">
        <v>150</v>
      </c>
      <c r="CA82" s="133">
        <v>45</v>
      </c>
      <c r="CB82" s="133" t="s">
        <v>141</v>
      </c>
      <c r="CC82" s="57" t="s">
        <v>59</v>
      </c>
      <c r="CD82" s="57">
        <v>13</v>
      </c>
      <c r="CI82" s="57" t="e">
        <f>VLOOKUP(CI81,CS80:CT140,2,FALSE)</f>
        <v>#REF!</v>
      </c>
      <c r="CQ82" s="139" t="str">
        <f>VLOOKUP(CQ80,CS80:CT140,2,FALSE)</f>
        <v>fifty</v>
      </c>
      <c r="CR82" s="139"/>
      <c r="CS82" s="57">
        <v>2E-3</v>
      </c>
      <c r="CT82" s="57" t="s">
        <v>990</v>
      </c>
      <c r="CV82" s="82"/>
      <c r="CW82" s="82"/>
      <c r="CX82" s="82"/>
      <c r="CY82" s="82"/>
      <c r="CZ82" s="82"/>
      <c r="DA82" s="82"/>
      <c r="DB82" s="82"/>
      <c r="DC82" s="82"/>
      <c r="DD82" s="82"/>
      <c r="DE82" s="82"/>
    </row>
    <row r="83" spans="20:186" x14ac:dyDescent="0.25">
      <c r="T83" s="61"/>
      <c r="U83" s="147"/>
      <c r="V83" s="148"/>
      <c r="W83" s="130"/>
      <c r="X83" s="130"/>
      <c r="Y83" s="130">
        <v>-7</v>
      </c>
      <c r="Z83" s="64">
        <v>0.52500000000000002</v>
      </c>
      <c r="AA83" s="99"/>
      <c r="AB83" s="130"/>
      <c r="AL83" s="133"/>
      <c r="BM83" s="68"/>
      <c r="BN83" s="61"/>
      <c r="BO83" s="61"/>
      <c r="BP83" s="77">
        <v>5.1999999999999998E-2</v>
      </c>
      <c r="BQ83" s="75">
        <v>-0.3</v>
      </c>
      <c r="BR83" s="75"/>
      <c r="BS83" s="61"/>
      <c r="BT83" s="75">
        <v>0.3</v>
      </c>
      <c r="BU83" s="61"/>
      <c r="BV83" s="80"/>
      <c r="BX83" s="133">
        <v>21</v>
      </c>
      <c r="BY83" s="133">
        <v>115</v>
      </c>
      <c r="BZ83" s="133">
        <v>150</v>
      </c>
      <c r="CA83" s="133">
        <v>45</v>
      </c>
      <c r="CB83" s="133" t="s">
        <v>142</v>
      </c>
      <c r="CC83" s="57" t="s">
        <v>59</v>
      </c>
      <c r="CD83" s="57">
        <v>14</v>
      </c>
      <c r="CS83" s="57">
        <v>3.0000000000000001E-3</v>
      </c>
      <c r="CT83" s="57" t="s">
        <v>870</v>
      </c>
      <c r="CV83" s="82"/>
      <c r="CW83" s="82"/>
      <c r="CX83" s="82"/>
      <c r="CY83" s="82"/>
      <c r="CZ83" s="82"/>
      <c r="DA83" s="82"/>
      <c r="DB83" s="82"/>
      <c r="DC83" s="82"/>
      <c r="DD83" s="82"/>
      <c r="DE83" s="82"/>
    </row>
    <row r="84" spans="20:186" x14ac:dyDescent="0.25">
      <c r="T84" s="61"/>
      <c r="U84" s="147"/>
      <c r="V84" s="148"/>
      <c r="W84" s="104"/>
      <c r="X84" s="130"/>
      <c r="Y84" s="130">
        <v>-6</v>
      </c>
      <c r="Z84" s="64">
        <v>0.45</v>
      </c>
      <c r="AA84" s="99"/>
      <c r="AB84" s="130"/>
      <c r="AL84" s="133"/>
      <c r="BM84" s="68"/>
      <c r="BN84" s="61"/>
      <c r="BO84" s="61"/>
      <c r="BP84" s="77">
        <v>5.2999999999999999E-2</v>
      </c>
      <c r="BQ84" s="75">
        <v>-0.32500000000000001</v>
      </c>
      <c r="BR84" s="75"/>
      <c r="BS84" s="61" t="s">
        <v>760</v>
      </c>
      <c r="BT84" s="75">
        <v>0.4</v>
      </c>
      <c r="BU84" s="61"/>
      <c r="BV84" s="80"/>
      <c r="BX84" s="133">
        <v>21.5</v>
      </c>
      <c r="BY84" s="133">
        <v>120</v>
      </c>
      <c r="BZ84" s="133">
        <v>150</v>
      </c>
      <c r="CA84" s="133">
        <v>45</v>
      </c>
      <c r="CB84" s="133" t="s">
        <v>143</v>
      </c>
      <c r="CC84" s="57" t="s">
        <v>59</v>
      </c>
      <c r="CD84" s="57">
        <v>15</v>
      </c>
      <c r="CS84" s="57">
        <v>4.0000000000000001E-3</v>
      </c>
      <c r="CT84" s="57" t="s">
        <v>871</v>
      </c>
      <c r="CV84" s="82"/>
      <c r="CW84" s="82"/>
      <c r="CX84" s="82"/>
      <c r="CY84" s="82"/>
      <c r="CZ84" s="82"/>
      <c r="DA84" s="82"/>
      <c r="DB84" s="82"/>
      <c r="DC84" s="82"/>
      <c r="DD84" s="82"/>
      <c r="DE84" s="82"/>
    </row>
    <row r="85" spans="20:186" x14ac:dyDescent="0.25">
      <c r="T85" s="61"/>
      <c r="U85" s="147"/>
      <c r="V85" s="148"/>
      <c r="W85" s="104"/>
      <c r="X85" s="130"/>
      <c r="Y85" s="130">
        <v>-5</v>
      </c>
      <c r="Z85" s="64">
        <v>0.375</v>
      </c>
      <c r="AA85" s="99"/>
      <c r="AB85" s="130"/>
      <c r="AL85" s="133"/>
      <c r="BM85" s="68"/>
      <c r="BN85" s="61"/>
      <c r="BO85" s="61"/>
      <c r="BP85" s="77">
        <v>5.3999999999999999E-2</v>
      </c>
      <c r="BQ85" s="75">
        <v>-0.35</v>
      </c>
      <c r="BR85" s="75"/>
      <c r="BS85" s="61"/>
      <c r="BT85" s="75">
        <v>0.5</v>
      </c>
      <c r="BU85" s="61"/>
      <c r="BV85" s="80"/>
      <c r="BX85" s="133">
        <v>22</v>
      </c>
      <c r="BY85" s="133">
        <v>125</v>
      </c>
      <c r="BZ85" s="133">
        <v>150</v>
      </c>
      <c r="CA85" s="133">
        <v>45</v>
      </c>
      <c r="CB85" s="133" t="s">
        <v>144</v>
      </c>
      <c r="CC85" s="57" t="s">
        <v>59</v>
      </c>
      <c r="CD85" s="57">
        <v>16</v>
      </c>
      <c r="CS85" s="57">
        <v>5.0000000000000001E-3</v>
      </c>
      <c r="CT85" s="57" t="s">
        <v>872</v>
      </c>
      <c r="CV85" s="82"/>
      <c r="CW85" s="82"/>
      <c r="CX85" s="82"/>
      <c r="CY85" s="82"/>
      <c r="CZ85" s="82"/>
      <c r="DA85" s="82"/>
      <c r="DB85" s="82"/>
      <c r="DC85" s="82"/>
      <c r="DD85" s="82"/>
      <c r="DE85" s="82"/>
      <c r="EW85" s="52"/>
      <c r="EX85" s="52"/>
      <c r="EY85" s="52"/>
      <c r="EZ85" s="52"/>
      <c r="FA85" s="52"/>
      <c r="FB85" s="52"/>
      <c r="FC85" s="52"/>
      <c r="FD85" s="52"/>
      <c r="FE85" s="52"/>
      <c r="FF85" s="52"/>
      <c r="FG85" s="52"/>
      <c r="FH85" s="52"/>
      <c r="FI85" s="52"/>
      <c r="FJ85" s="52"/>
      <c r="FK85" s="52"/>
      <c r="FL85" s="52"/>
      <c r="FM85" s="52"/>
      <c r="FN85" s="52"/>
      <c r="FO85" s="52"/>
      <c r="FP85" s="52"/>
      <c r="FQ85" s="52"/>
      <c r="FR85" s="52"/>
      <c r="FS85" s="52"/>
    </row>
    <row r="86" spans="20:186" x14ac:dyDescent="0.25">
      <c r="T86" s="61"/>
      <c r="U86" s="129"/>
      <c r="V86" s="130"/>
      <c r="W86" s="104"/>
      <c r="X86" s="61" t="s">
        <v>718</v>
      </c>
      <c r="Y86" s="130">
        <v>-4</v>
      </c>
      <c r="Z86" s="64">
        <v>0.3</v>
      </c>
      <c r="AA86" s="99"/>
      <c r="AB86" s="130"/>
      <c r="AL86" s="133"/>
      <c r="BM86" s="68"/>
      <c r="BN86" s="61"/>
      <c r="BO86" s="61"/>
      <c r="BP86" s="77">
        <v>5.5E-2</v>
      </c>
      <c r="BQ86" s="75">
        <v>-0.375</v>
      </c>
      <c r="BR86" s="75"/>
      <c r="BS86" s="61"/>
      <c r="BT86" s="75">
        <v>0.6</v>
      </c>
      <c r="BU86" s="61"/>
      <c r="BV86" s="80"/>
      <c r="BX86" s="133">
        <v>22.5</v>
      </c>
      <c r="BY86" s="133">
        <v>130</v>
      </c>
      <c r="BZ86" s="133">
        <v>150</v>
      </c>
      <c r="CA86" s="133">
        <v>45</v>
      </c>
      <c r="CB86" s="133" t="s">
        <v>145</v>
      </c>
      <c r="CC86" s="57" t="s">
        <v>59</v>
      </c>
      <c r="CD86" s="57">
        <v>17</v>
      </c>
      <c r="CS86" s="57">
        <v>6.0000000000000001E-3</v>
      </c>
      <c r="CT86" s="57" t="s">
        <v>873</v>
      </c>
      <c r="CV86" s="82"/>
      <c r="CW86" s="82"/>
      <c r="CX86" s="82"/>
      <c r="CY86" s="82"/>
      <c r="CZ86" s="82"/>
      <c r="DA86" s="82"/>
      <c r="DB86" s="82"/>
      <c r="DC86" s="82"/>
      <c r="DD86" s="82"/>
      <c r="DE86" s="82"/>
      <c r="EW86" s="52"/>
      <c r="EX86" s="52"/>
      <c r="EY86" s="52"/>
      <c r="EZ86" s="52"/>
      <c r="FA86" s="52"/>
      <c r="FB86" s="52"/>
      <c r="FC86" s="52"/>
      <c r="FD86" s="52"/>
      <c r="FE86" s="52"/>
      <c r="FF86" s="52"/>
      <c r="FG86" s="52"/>
      <c r="FH86" s="52"/>
      <c r="FI86" s="52"/>
      <c r="FJ86" s="52"/>
      <c r="FK86" s="52"/>
      <c r="FL86" s="52"/>
      <c r="FM86" s="52"/>
      <c r="FN86" s="52"/>
      <c r="FO86" s="52"/>
      <c r="FP86" s="52"/>
      <c r="FQ86" s="52"/>
      <c r="FR86" s="52"/>
      <c r="FS86" s="52"/>
    </row>
    <row r="87" spans="20:186" x14ac:dyDescent="0.25">
      <c r="T87" s="61"/>
      <c r="U87" s="129"/>
      <c r="V87" s="130"/>
      <c r="W87" s="130"/>
      <c r="X87" s="130"/>
      <c r="Y87" s="130">
        <v>-3</v>
      </c>
      <c r="Z87" s="64">
        <v>0.22500000000000001</v>
      </c>
      <c r="AA87" s="99"/>
      <c r="AB87" s="130"/>
      <c r="BM87" s="68"/>
      <c r="BN87" s="61"/>
      <c r="BO87" s="61"/>
      <c r="BP87" s="77">
        <v>5.6000000000000001E-2</v>
      </c>
      <c r="BQ87" s="75">
        <v>-0.4</v>
      </c>
      <c r="BR87" s="75"/>
      <c r="BS87" s="61"/>
      <c r="BT87" s="75">
        <v>0.7</v>
      </c>
      <c r="BU87" s="61"/>
      <c r="BV87" s="80"/>
      <c r="BX87" s="133">
        <v>23</v>
      </c>
      <c r="BY87" s="133">
        <v>135</v>
      </c>
      <c r="BZ87" s="133">
        <v>150</v>
      </c>
      <c r="CA87" s="133">
        <v>45</v>
      </c>
      <c r="CB87" s="133" t="s">
        <v>146</v>
      </c>
      <c r="CC87" s="57" t="s">
        <v>59</v>
      </c>
      <c r="CD87" s="57">
        <v>18</v>
      </c>
      <c r="CS87" s="57">
        <v>7.0000000000000001E-3</v>
      </c>
      <c r="CT87" s="57" t="s">
        <v>874</v>
      </c>
      <c r="CV87" s="82"/>
      <c r="CW87" s="82"/>
      <c r="CX87" s="82"/>
      <c r="CY87" s="82"/>
      <c r="CZ87" s="82"/>
      <c r="DA87" s="82"/>
      <c r="DB87" s="82"/>
      <c r="DC87" s="82"/>
      <c r="DD87" s="82"/>
      <c r="DE87" s="8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GD87" s="54"/>
    </row>
    <row r="88" spans="20:186" x14ac:dyDescent="0.25">
      <c r="T88" s="61"/>
      <c r="U88" s="129"/>
      <c r="V88" s="130"/>
      <c r="W88" s="130"/>
      <c r="X88" s="130"/>
      <c r="Y88" s="130">
        <v>-2</v>
      </c>
      <c r="Z88" s="64">
        <v>0.15</v>
      </c>
      <c r="AA88" s="99"/>
      <c r="AB88" s="130"/>
      <c r="AO88" s="91"/>
      <c r="BM88" s="68"/>
      <c r="BN88" s="61"/>
      <c r="BO88" s="61"/>
      <c r="BP88" s="77">
        <v>5.7000000000000002E-2</v>
      </c>
      <c r="BQ88" s="75">
        <v>-0.42499999999999999</v>
      </c>
      <c r="BR88" s="75"/>
      <c r="BS88" s="61" t="s">
        <v>761</v>
      </c>
      <c r="BT88" s="75">
        <v>0.8</v>
      </c>
      <c r="BU88" s="61"/>
      <c r="BV88" s="80"/>
      <c r="BX88" s="133">
        <v>23.5</v>
      </c>
      <c r="BY88" s="133">
        <v>140</v>
      </c>
      <c r="BZ88" s="133">
        <v>150</v>
      </c>
      <c r="CA88" s="133">
        <v>45</v>
      </c>
      <c r="CB88" s="133" t="s">
        <v>147</v>
      </c>
      <c r="CC88" s="57" t="s">
        <v>59</v>
      </c>
      <c r="CD88" s="57">
        <v>19</v>
      </c>
      <c r="CS88" s="57">
        <v>8.0000000000000002E-3</v>
      </c>
      <c r="CT88" s="57" t="s">
        <v>875</v>
      </c>
      <c r="CV88" s="82"/>
      <c r="CW88" s="82"/>
      <c r="CX88" s="82"/>
      <c r="CY88" s="82"/>
      <c r="CZ88" s="82"/>
      <c r="DA88" s="82"/>
      <c r="DB88" s="82"/>
      <c r="DC88" s="82"/>
      <c r="DD88" s="82"/>
      <c r="DE88" s="82"/>
      <c r="DF88" s="82"/>
      <c r="DG88" s="82"/>
      <c r="DH88" s="8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GD88" s="54"/>
    </row>
    <row r="89" spans="20:186" x14ac:dyDescent="0.25">
      <c r="T89" s="61"/>
      <c r="U89" s="129"/>
      <c r="V89" s="130"/>
      <c r="W89" s="130"/>
      <c r="X89" s="130"/>
      <c r="Y89" s="130">
        <v>-1</v>
      </c>
      <c r="Z89" s="64">
        <v>7.4999999999999997E-2</v>
      </c>
      <c r="AA89" s="99"/>
      <c r="AB89" s="130"/>
      <c r="AO89" s="91"/>
      <c r="BM89" s="68"/>
      <c r="BN89" s="61"/>
      <c r="BO89" s="61"/>
      <c r="BP89" s="77">
        <v>5.8000000000000003E-2</v>
      </c>
      <c r="BQ89" s="75">
        <v>-0.45</v>
      </c>
      <c r="BR89" s="75"/>
      <c r="BS89" s="61"/>
      <c r="BT89" s="61"/>
      <c r="BU89" s="61"/>
      <c r="BV89" s="80"/>
      <c r="BX89" s="133">
        <v>24</v>
      </c>
      <c r="BY89" s="133">
        <v>145</v>
      </c>
      <c r="BZ89" s="133">
        <v>150</v>
      </c>
      <c r="CA89" s="133">
        <v>45</v>
      </c>
      <c r="CB89" s="133" t="s">
        <v>148</v>
      </c>
      <c r="CC89" s="57" t="s">
        <v>59</v>
      </c>
      <c r="CD89" s="57">
        <v>20</v>
      </c>
      <c r="CS89" s="57">
        <v>8.9999999999999993E-3</v>
      </c>
      <c r="CT89" s="57" t="s">
        <v>876</v>
      </c>
      <c r="CV89" s="82"/>
      <c r="CW89" s="82"/>
      <c r="CX89" s="82"/>
      <c r="CY89" s="82"/>
      <c r="CZ89" s="82"/>
      <c r="DA89" s="82"/>
      <c r="DB89" s="82"/>
      <c r="DC89" s="82"/>
      <c r="DD89" s="82"/>
      <c r="DE89" s="82"/>
      <c r="DF89" s="82"/>
      <c r="DG89" s="82"/>
      <c r="EW89" s="52"/>
      <c r="EX89" s="52"/>
      <c r="EY89" s="52"/>
      <c r="EZ89" s="52"/>
      <c r="FA89" s="52"/>
      <c r="FB89" s="52"/>
      <c r="FC89" s="52"/>
      <c r="FD89" s="52"/>
      <c r="FE89" s="52"/>
      <c r="FF89" s="52"/>
      <c r="FG89" s="52"/>
      <c r="FH89" s="52"/>
      <c r="FI89" s="52"/>
      <c r="FJ89" s="52"/>
      <c r="FK89" s="52"/>
      <c r="FL89" s="52"/>
      <c r="FM89" s="52"/>
      <c r="FN89" s="52"/>
      <c r="FO89" s="52"/>
      <c r="FP89" s="52"/>
      <c r="FQ89" s="52"/>
      <c r="FR89" s="52"/>
      <c r="FS89" s="52"/>
      <c r="GD89" s="54"/>
    </row>
    <row r="90" spans="20:186" x14ac:dyDescent="0.25">
      <c r="T90" s="61"/>
      <c r="U90" s="129"/>
      <c r="V90" s="130"/>
      <c r="W90" s="130"/>
      <c r="X90" s="130" t="s">
        <v>54</v>
      </c>
      <c r="Y90" s="130">
        <v>0</v>
      </c>
      <c r="Z90" s="64">
        <v>0</v>
      </c>
      <c r="AA90" s="99"/>
      <c r="AB90" s="130"/>
      <c r="AO90" s="91"/>
      <c r="BM90" s="68"/>
      <c r="BN90" s="61"/>
      <c r="BO90" s="61"/>
      <c r="BP90" s="77">
        <v>5.8999999999999997E-2</v>
      </c>
      <c r="BQ90" s="75">
        <v>-0.47499999999999998</v>
      </c>
      <c r="BR90" s="75"/>
      <c r="BS90" s="61"/>
      <c r="BT90" s="61"/>
      <c r="BU90" s="61"/>
      <c r="BV90" s="80"/>
      <c r="BX90" s="133">
        <v>24.5</v>
      </c>
      <c r="BY90" s="133">
        <v>150</v>
      </c>
      <c r="BZ90" s="133">
        <v>150</v>
      </c>
      <c r="CA90" s="133">
        <v>45</v>
      </c>
      <c r="CB90" s="133" t="s">
        <v>149</v>
      </c>
      <c r="CC90" s="57" t="s">
        <v>59</v>
      </c>
      <c r="CD90" s="57">
        <v>21</v>
      </c>
      <c r="CS90" s="57">
        <v>0.01</v>
      </c>
      <c r="CT90" s="57" t="s">
        <v>877</v>
      </c>
      <c r="CV90" s="82"/>
      <c r="CW90" s="82"/>
      <c r="CX90" s="82"/>
      <c r="CY90" s="82"/>
      <c r="CZ90" s="82"/>
      <c r="DA90" s="82"/>
      <c r="DB90" s="82"/>
      <c r="DC90" s="82"/>
      <c r="DD90" s="82"/>
      <c r="DE90" s="82"/>
      <c r="DF90" s="82"/>
      <c r="DG90" s="82"/>
      <c r="EW90" s="52"/>
      <c r="EX90" s="52"/>
      <c r="EY90" s="52"/>
      <c r="EZ90" s="52"/>
      <c r="FA90" s="52"/>
      <c r="FB90" s="52"/>
      <c r="FC90" s="52"/>
      <c r="FD90" s="52"/>
      <c r="FE90" s="52"/>
      <c r="FF90" s="52"/>
      <c r="FG90" s="52"/>
      <c r="FH90" s="52"/>
      <c r="FI90" s="52"/>
      <c r="FJ90" s="52"/>
      <c r="FK90" s="52"/>
      <c r="FL90" s="52"/>
      <c r="FM90" s="52"/>
      <c r="FN90" s="52"/>
      <c r="FO90" s="52"/>
      <c r="FP90" s="52"/>
      <c r="FQ90" s="52"/>
      <c r="FR90" s="52"/>
      <c r="FS90" s="52"/>
      <c r="GD90" s="54"/>
    </row>
    <row r="91" spans="20:186" x14ac:dyDescent="0.25">
      <c r="T91" s="61"/>
      <c r="U91" s="129"/>
      <c r="V91" s="130"/>
      <c r="W91" s="130"/>
      <c r="X91" s="130"/>
      <c r="Y91" s="130">
        <v>1</v>
      </c>
      <c r="Z91" s="64">
        <v>-7.4999999999999997E-2</v>
      </c>
      <c r="AA91" s="99"/>
      <c r="AB91" s="130"/>
      <c r="AO91" s="91"/>
      <c r="BM91" s="68"/>
      <c r="BN91" s="61"/>
      <c r="BO91" s="61"/>
      <c r="BP91" s="77">
        <v>0.06</v>
      </c>
      <c r="BQ91" s="75">
        <v>-0.5</v>
      </c>
      <c r="BR91" s="75"/>
      <c r="BS91" s="61"/>
      <c r="BT91" s="61"/>
      <c r="BU91" s="61"/>
      <c r="BV91" s="80"/>
      <c r="BX91" s="133">
        <v>25</v>
      </c>
      <c r="BY91" s="133">
        <v>155</v>
      </c>
      <c r="BZ91" s="133">
        <v>150</v>
      </c>
      <c r="CA91" s="133">
        <v>45</v>
      </c>
      <c r="CB91" s="133" t="s">
        <v>150</v>
      </c>
      <c r="CC91" s="57" t="s">
        <v>59</v>
      </c>
      <c r="CD91" s="57">
        <v>22</v>
      </c>
      <c r="CS91" s="57">
        <v>1.0999999999999999E-2</v>
      </c>
      <c r="CT91" s="57" t="s">
        <v>878</v>
      </c>
      <c r="CV91" s="82"/>
      <c r="CW91" s="82"/>
      <c r="CX91" s="82"/>
      <c r="CY91" s="82"/>
      <c r="CZ91" s="82"/>
      <c r="DA91" s="82"/>
      <c r="DB91" s="82"/>
      <c r="DC91" s="82"/>
      <c r="DD91" s="82"/>
      <c r="DE91" s="82"/>
      <c r="DF91" s="82"/>
      <c r="DG91" s="82"/>
      <c r="EW91" s="52"/>
      <c r="EX91" s="52"/>
      <c r="EY91" s="52"/>
      <c r="EZ91" s="52"/>
      <c r="FA91" s="52"/>
      <c r="FB91" s="52"/>
      <c r="FC91" s="52"/>
      <c r="FD91" s="52"/>
      <c r="FE91" s="52"/>
      <c r="FF91" s="52"/>
      <c r="FG91" s="52"/>
      <c r="FH91" s="52"/>
      <c r="FI91" s="52"/>
      <c r="FJ91" s="52"/>
      <c r="FK91" s="52"/>
      <c r="FL91" s="52"/>
      <c r="FM91" s="52"/>
      <c r="FN91" s="52"/>
      <c r="FO91" s="52"/>
      <c r="FP91" s="52"/>
      <c r="FQ91" s="52"/>
      <c r="FR91" s="52"/>
      <c r="FS91" s="52"/>
      <c r="GD91" s="54"/>
    </row>
    <row r="92" spans="20:186" ht="15.75" thickBot="1" x14ac:dyDescent="0.3">
      <c r="T92" s="61"/>
      <c r="U92" s="129"/>
      <c r="V92" s="130"/>
      <c r="W92" s="130"/>
      <c r="X92" s="130"/>
      <c r="Y92" s="130">
        <v>2</v>
      </c>
      <c r="Z92" s="64">
        <v>-0.15</v>
      </c>
      <c r="AA92" s="99"/>
      <c r="AB92" s="130"/>
      <c r="AO92" s="91"/>
      <c r="BM92" s="103"/>
      <c r="BN92" s="95"/>
      <c r="BO92" s="95"/>
      <c r="BP92" s="95"/>
      <c r="BQ92" s="95"/>
      <c r="BR92" s="95"/>
      <c r="BS92" s="95"/>
      <c r="BT92" s="95"/>
      <c r="BU92" s="95"/>
      <c r="BV92" s="96"/>
      <c r="BX92" s="133">
        <v>10</v>
      </c>
      <c r="BY92" s="133">
        <v>5</v>
      </c>
      <c r="BZ92" s="133">
        <v>175</v>
      </c>
      <c r="CA92" s="133">
        <v>50</v>
      </c>
      <c r="CB92" s="133" t="s">
        <v>151</v>
      </c>
      <c r="CC92" s="57" t="s">
        <v>62</v>
      </c>
      <c r="CD92" s="57">
        <v>-9</v>
      </c>
      <c r="CS92" s="57">
        <v>1.2E-2</v>
      </c>
      <c r="CT92" s="57" t="s">
        <v>879</v>
      </c>
      <c r="CV92" s="82"/>
      <c r="CW92" s="82"/>
      <c r="CX92" s="82"/>
      <c r="CY92" s="82"/>
      <c r="CZ92" s="82"/>
      <c r="DA92" s="82"/>
      <c r="DB92" s="82"/>
      <c r="DC92" s="82"/>
      <c r="DD92" s="82"/>
      <c r="DE92" s="82"/>
      <c r="DF92" s="82"/>
      <c r="DG92" s="8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GD92" s="54"/>
    </row>
    <row r="93" spans="20:186" x14ac:dyDescent="0.25">
      <c r="T93" s="61"/>
      <c r="U93" s="129"/>
      <c r="V93" s="130"/>
      <c r="W93" s="130"/>
      <c r="X93" s="130"/>
      <c r="Y93" s="130">
        <v>3</v>
      </c>
      <c r="Z93" s="64">
        <v>-0.22500000000000001</v>
      </c>
      <c r="AA93" s="99"/>
      <c r="AB93" s="130"/>
      <c r="AO93" s="91"/>
      <c r="BM93" s="61"/>
      <c r="BN93" s="61"/>
      <c r="BO93" s="61"/>
      <c r="BP93" s="61"/>
      <c r="BQ93" s="61"/>
      <c r="BR93" s="61"/>
      <c r="BS93" s="61"/>
      <c r="BT93" s="61"/>
      <c r="BU93" s="61"/>
      <c r="BV93" s="61"/>
      <c r="BX93" s="133">
        <v>10.5</v>
      </c>
      <c r="BY93" s="133">
        <v>10</v>
      </c>
      <c r="BZ93" s="133">
        <v>175</v>
      </c>
      <c r="CA93" s="133">
        <v>50</v>
      </c>
      <c r="CB93" s="133" t="s">
        <v>152</v>
      </c>
      <c r="CC93" s="57" t="s">
        <v>62</v>
      </c>
      <c r="CD93" s="57">
        <v>-8</v>
      </c>
      <c r="CS93" s="57">
        <v>1.2999999999999999E-2</v>
      </c>
      <c r="CT93" s="57" t="s">
        <v>880</v>
      </c>
      <c r="CV93" s="82"/>
      <c r="CW93" s="82"/>
      <c r="CX93" s="82"/>
      <c r="CY93" s="82"/>
      <c r="CZ93" s="82"/>
      <c r="DA93" s="82"/>
      <c r="DB93" s="82"/>
      <c r="DC93" s="82"/>
      <c r="DD93" s="82"/>
      <c r="DE93" s="82"/>
      <c r="DF93" s="82"/>
      <c r="DG93" s="8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GD93" s="54"/>
    </row>
    <row r="94" spans="20:186" x14ac:dyDescent="0.25">
      <c r="T94" s="61"/>
      <c r="U94" s="129"/>
      <c r="V94" s="130"/>
      <c r="W94" s="130"/>
      <c r="X94" s="61" t="s">
        <v>719</v>
      </c>
      <c r="Y94" s="130">
        <v>4</v>
      </c>
      <c r="Z94" s="64">
        <v>-0.3</v>
      </c>
      <c r="AA94" s="99"/>
      <c r="AB94" s="130"/>
      <c r="AO94" s="91"/>
      <c r="BM94" s="61"/>
      <c r="BN94" s="61"/>
      <c r="BO94" s="61"/>
      <c r="BP94" s="61"/>
      <c r="BQ94" s="61"/>
      <c r="BR94" s="61"/>
      <c r="BS94" s="61"/>
      <c r="BT94" s="61"/>
      <c r="BU94" s="61"/>
      <c r="BV94" s="61"/>
      <c r="BX94" s="133">
        <v>11</v>
      </c>
      <c r="BY94" s="133">
        <v>15</v>
      </c>
      <c r="BZ94" s="133">
        <v>175</v>
      </c>
      <c r="CA94" s="133">
        <v>50</v>
      </c>
      <c r="CB94" s="133" t="s">
        <v>153</v>
      </c>
      <c r="CC94" s="57" t="s">
        <v>62</v>
      </c>
      <c r="CD94" s="57">
        <v>-7</v>
      </c>
      <c r="CS94" s="57">
        <v>1.4E-2</v>
      </c>
      <c r="CT94" s="57" t="s">
        <v>881</v>
      </c>
      <c r="CV94" s="82"/>
      <c r="CW94" s="82"/>
      <c r="CX94" s="82"/>
      <c r="CY94" s="82"/>
      <c r="CZ94" s="82"/>
      <c r="DA94" s="82"/>
      <c r="DB94" s="82"/>
      <c r="DC94" s="82"/>
      <c r="DD94" s="82"/>
      <c r="DE94" s="82"/>
      <c r="DF94" s="82"/>
      <c r="DG94" s="8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GD94" s="54"/>
    </row>
    <row r="95" spans="20:186" x14ac:dyDescent="0.25">
      <c r="T95" s="61"/>
      <c r="U95" s="129"/>
      <c r="V95" s="130"/>
      <c r="W95" s="130"/>
      <c r="X95" s="130"/>
      <c r="Y95" s="130">
        <v>5</v>
      </c>
      <c r="Z95" s="64">
        <v>-0.375</v>
      </c>
      <c r="AA95" s="99"/>
      <c r="AB95" s="130"/>
      <c r="AO95" s="91"/>
      <c r="BM95" s="61"/>
      <c r="BN95" s="61"/>
      <c r="BO95" s="61"/>
      <c r="BP95" s="61"/>
      <c r="BQ95" s="61"/>
      <c r="BR95" s="61"/>
      <c r="BS95" s="61"/>
      <c r="BT95" s="61"/>
      <c r="BU95" s="61"/>
      <c r="BV95" s="61"/>
      <c r="BX95" s="133">
        <v>11.5</v>
      </c>
      <c r="BY95" s="133">
        <v>20</v>
      </c>
      <c r="BZ95" s="133">
        <v>175</v>
      </c>
      <c r="CA95" s="133">
        <v>50</v>
      </c>
      <c r="CB95" s="133" t="s">
        <v>154</v>
      </c>
      <c r="CC95" s="57" t="s">
        <v>61</v>
      </c>
      <c r="CD95" s="57">
        <v>-6</v>
      </c>
      <c r="CS95" s="57">
        <v>1.4999999999999999E-2</v>
      </c>
      <c r="CT95" s="57" t="s">
        <v>882</v>
      </c>
      <c r="CV95" s="82"/>
      <c r="CW95" s="82"/>
      <c r="CX95" s="82"/>
      <c r="CY95" s="82"/>
      <c r="CZ95" s="82"/>
      <c r="DA95" s="82"/>
      <c r="DB95" s="82"/>
      <c r="DC95" s="82"/>
      <c r="DD95" s="82"/>
      <c r="DE95" s="82"/>
      <c r="DF95" s="82"/>
      <c r="DG95" s="8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GD95" s="54"/>
    </row>
    <row r="96" spans="20:186" x14ac:dyDescent="0.25">
      <c r="T96" s="61"/>
      <c r="U96" s="129"/>
      <c r="V96" s="130"/>
      <c r="W96" s="130"/>
      <c r="X96" s="130"/>
      <c r="Y96" s="130">
        <v>6</v>
      </c>
      <c r="Z96" s="64">
        <v>-0.45</v>
      </c>
      <c r="AA96" s="99"/>
      <c r="AB96" s="130"/>
      <c r="AO96" s="91"/>
      <c r="BM96" s="61"/>
      <c r="BN96" s="61"/>
      <c r="BO96" s="61"/>
      <c r="BP96" s="61"/>
      <c r="BQ96" s="61"/>
      <c r="BR96" s="61"/>
      <c r="BS96" s="61"/>
      <c r="BT96" s="61"/>
      <c r="BU96" s="61"/>
      <c r="BV96" s="61"/>
      <c r="BX96" s="133">
        <v>12</v>
      </c>
      <c r="BY96" s="133">
        <v>25</v>
      </c>
      <c r="BZ96" s="133">
        <v>175</v>
      </c>
      <c r="CA96" s="133">
        <v>50</v>
      </c>
      <c r="CB96" s="133" t="s">
        <v>155</v>
      </c>
      <c r="CC96" s="57" t="s">
        <v>61</v>
      </c>
      <c r="CD96" s="57">
        <v>-5</v>
      </c>
      <c r="CS96" s="57">
        <v>1.6E-2</v>
      </c>
      <c r="CT96" s="57" t="s">
        <v>883</v>
      </c>
      <c r="CV96" s="82"/>
      <c r="CW96" s="82"/>
      <c r="CX96" s="82"/>
      <c r="CY96" s="82"/>
      <c r="CZ96" s="82"/>
      <c r="DA96" s="82"/>
      <c r="DB96" s="82"/>
      <c r="DC96" s="82"/>
      <c r="DD96" s="82"/>
      <c r="DE96" s="82"/>
      <c r="DF96" s="82"/>
      <c r="DG96" s="8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GD96" s="54"/>
    </row>
    <row r="97" spans="20:186" x14ac:dyDescent="0.25">
      <c r="T97" s="61"/>
      <c r="U97" s="129"/>
      <c r="V97" s="130"/>
      <c r="W97" s="130"/>
      <c r="X97" s="130"/>
      <c r="Y97" s="130">
        <v>7</v>
      </c>
      <c r="Z97" s="64">
        <v>-0.52500000000000002</v>
      </c>
      <c r="AA97" s="99"/>
      <c r="AB97" s="130"/>
      <c r="AO97" s="91"/>
      <c r="BM97" s="61"/>
      <c r="BN97" s="61"/>
      <c r="BO97" s="61"/>
      <c r="BP97" s="61"/>
      <c r="BQ97" s="61"/>
      <c r="BR97" s="61"/>
      <c r="BS97" s="61"/>
      <c r="BT97" s="61"/>
      <c r="BU97" s="61"/>
      <c r="BV97" s="61"/>
      <c r="BX97" s="133">
        <v>12.5</v>
      </c>
      <c r="BY97" s="133">
        <v>30</v>
      </c>
      <c r="BZ97" s="133">
        <v>175</v>
      </c>
      <c r="CA97" s="133">
        <v>50</v>
      </c>
      <c r="CB97" s="133" t="s">
        <v>156</v>
      </c>
      <c r="CC97" s="57" t="s">
        <v>61</v>
      </c>
      <c r="CD97" s="57">
        <v>-4</v>
      </c>
      <c r="CS97" s="57">
        <v>1.7000000000000001E-2</v>
      </c>
      <c r="CT97" s="57" t="s">
        <v>884</v>
      </c>
      <c r="CV97" s="82"/>
      <c r="CW97" s="82"/>
      <c r="CX97" s="82"/>
      <c r="CY97" s="82"/>
      <c r="CZ97" s="82"/>
      <c r="DA97" s="82"/>
      <c r="DB97" s="82"/>
      <c r="DC97" s="82"/>
      <c r="DD97" s="82"/>
      <c r="DE97" s="82"/>
      <c r="DF97" s="82"/>
      <c r="DG97" s="8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GD97" s="54"/>
    </row>
    <row r="98" spans="20:186" x14ac:dyDescent="0.25">
      <c r="T98" s="61"/>
      <c r="U98" s="129"/>
      <c r="V98" s="130"/>
      <c r="W98" s="130"/>
      <c r="X98" s="61" t="s">
        <v>57</v>
      </c>
      <c r="Y98" s="130">
        <v>8</v>
      </c>
      <c r="Z98" s="64">
        <v>-0.6</v>
      </c>
      <c r="AA98" s="99"/>
      <c r="AB98" s="130"/>
      <c r="AO98" s="91"/>
      <c r="BM98" s="61"/>
      <c r="BN98" s="61"/>
      <c r="BO98" s="61"/>
      <c r="BP98" s="61"/>
      <c r="BQ98" s="61"/>
      <c r="BR98" s="61"/>
      <c r="BS98" s="61"/>
      <c r="BT98" s="61"/>
      <c r="BU98" s="61"/>
      <c r="BV98" s="61"/>
      <c r="BX98" s="133">
        <v>13</v>
      </c>
      <c r="BY98" s="133">
        <v>35</v>
      </c>
      <c r="BZ98" s="133">
        <v>175</v>
      </c>
      <c r="CA98" s="133">
        <v>50</v>
      </c>
      <c r="CB98" s="133" t="s">
        <v>157</v>
      </c>
      <c r="CC98" s="57" t="s">
        <v>60</v>
      </c>
      <c r="CD98" s="57">
        <v>-3</v>
      </c>
      <c r="CS98" s="57">
        <v>1.7999999999999999E-2</v>
      </c>
      <c r="CT98" s="57" t="s">
        <v>885</v>
      </c>
      <c r="CV98" s="82"/>
      <c r="CW98" s="82"/>
      <c r="CX98" s="82"/>
      <c r="CY98" s="82"/>
      <c r="CZ98" s="82"/>
      <c r="DA98" s="82"/>
      <c r="DB98" s="82"/>
      <c r="DC98" s="82"/>
      <c r="DD98" s="82"/>
      <c r="DE98" s="82"/>
      <c r="DF98" s="82"/>
      <c r="DG98" s="8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GD98" s="54"/>
    </row>
    <row r="99" spans="20:186" x14ac:dyDescent="0.25">
      <c r="T99" s="61"/>
      <c r="U99" s="129"/>
      <c r="V99" s="130"/>
      <c r="W99" s="130"/>
      <c r="X99" s="130"/>
      <c r="Y99" s="130">
        <v>9</v>
      </c>
      <c r="Z99" s="64">
        <v>-0.67500000000000004</v>
      </c>
      <c r="AA99" s="99"/>
      <c r="AB99" s="130"/>
      <c r="AO99" s="91"/>
      <c r="BM99" s="61"/>
      <c r="BN99" s="61"/>
      <c r="BO99" s="61"/>
      <c r="BP99" s="61"/>
      <c r="BQ99" s="61"/>
      <c r="BR99" s="61"/>
      <c r="BS99" s="61"/>
      <c r="BT99" s="61"/>
      <c r="BU99" s="61"/>
      <c r="BV99" s="61"/>
      <c r="BX99" s="133">
        <v>13.5</v>
      </c>
      <c r="BY99" s="133">
        <v>40</v>
      </c>
      <c r="BZ99" s="133">
        <v>175</v>
      </c>
      <c r="CA99" s="133">
        <v>50</v>
      </c>
      <c r="CB99" s="133" t="s">
        <v>158</v>
      </c>
      <c r="CC99" s="57" t="s">
        <v>60</v>
      </c>
      <c r="CD99" s="57">
        <v>-2</v>
      </c>
      <c r="CS99" s="57">
        <v>1.9E-2</v>
      </c>
      <c r="CT99" s="57" t="s">
        <v>886</v>
      </c>
      <c r="CV99" s="82"/>
      <c r="CW99" s="82"/>
      <c r="CX99" s="82"/>
      <c r="CY99" s="82"/>
      <c r="CZ99" s="82"/>
      <c r="DA99" s="82"/>
      <c r="DB99" s="82"/>
      <c r="DC99" s="82"/>
      <c r="DD99" s="82"/>
      <c r="DE99" s="82"/>
      <c r="DF99" s="82"/>
      <c r="DG99" s="8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GD99" s="54"/>
    </row>
    <row r="100" spans="20:186" x14ac:dyDescent="0.25">
      <c r="T100" s="61"/>
      <c r="U100" s="129"/>
      <c r="V100" s="130"/>
      <c r="W100" s="130"/>
      <c r="X100" s="130"/>
      <c r="Y100" s="130">
        <v>10</v>
      </c>
      <c r="Z100" s="64">
        <v>-0.75</v>
      </c>
      <c r="AA100" s="99"/>
      <c r="AB100" s="130"/>
      <c r="AO100" s="91"/>
      <c r="BM100" s="61"/>
      <c r="BN100" s="61"/>
      <c r="BO100" s="61"/>
      <c r="BP100" s="61"/>
      <c r="BQ100" s="61"/>
      <c r="BR100" s="61"/>
      <c r="BS100" s="61"/>
      <c r="BT100" s="61"/>
      <c r="BU100" s="61"/>
      <c r="BV100" s="61"/>
      <c r="BX100" s="133">
        <v>14</v>
      </c>
      <c r="BY100" s="133">
        <v>45</v>
      </c>
      <c r="BZ100" s="133">
        <v>175</v>
      </c>
      <c r="CA100" s="133">
        <v>50</v>
      </c>
      <c r="CB100" s="133" t="s">
        <v>159</v>
      </c>
      <c r="CC100" s="57" t="s">
        <v>60</v>
      </c>
      <c r="CD100" s="57">
        <v>-1</v>
      </c>
      <c r="CS100" s="57">
        <v>0.02</v>
      </c>
      <c r="CT100" s="57" t="s">
        <v>887</v>
      </c>
    </row>
    <row r="101" spans="20:186" x14ac:dyDescent="0.25">
      <c r="T101" s="61"/>
      <c r="U101" s="129"/>
      <c r="V101" s="130"/>
      <c r="W101" s="130"/>
      <c r="X101" s="130"/>
      <c r="Y101" s="130">
        <v>11</v>
      </c>
      <c r="Z101" s="64">
        <v>-0.82499999999999996</v>
      </c>
      <c r="AA101" s="99"/>
      <c r="AB101" s="130"/>
      <c r="AO101" s="91"/>
      <c r="BM101" s="61"/>
      <c r="BN101" s="61"/>
      <c r="BO101" s="61"/>
      <c r="BP101" s="61"/>
      <c r="BQ101" s="61"/>
      <c r="BR101" s="61"/>
      <c r="BS101" s="61"/>
      <c r="BT101" s="61"/>
      <c r="BU101" s="61"/>
      <c r="BV101" s="61"/>
      <c r="BX101" s="133">
        <v>14.5</v>
      </c>
      <c r="BY101" s="133">
        <v>50</v>
      </c>
      <c r="BZ101" s="133">
        <v>175</v>
      </c>
      <c r="CA101" s="133">
        <v>50</v>
      </c>
      <c r="CB101" s="133" t="s">
        <v>160</v>
      </c>
      <c r="CC101" s="57" t="s">
        <v>54</v>
      </c>
      <c r="CD101" s="57">
        <v>0</v>
      </c>
      <c r="CS101" s="57">
        <v>2.1000000000000001E-2</v>
      </c>
      <c r="CT101" s="57" t="s">
        <v>888</v>
      </c>
    </row>
    <row r="102" spans="20:186" x14ac:dyDescent="0.25">
      <c r="T102" s="61"/>
      <c r="U102" s="129"/>
      <c r="V102" s="130"/>
      <c r="W102" s="130"/>
      <c r="X102" s="130"/>
      <c r="Y102" s="130">
        <v>12</v>
      </c>
      <c r="Z102" s="64">
        <v>-0.9</v>
      </c>
      <c r="AA102" s="99"/>
      <c r="AB102" s="130"/>
      <c r="AO102" s="91"/>
      <c r="BM102" s="61"/>
      <c r="BN102" s="61"/>
      <c r="BO102" s="61"/>
      <c r="BP102" s="61"/>
      <c r="BQ102" s="61"/>
      <c r="BR102" s="61"/>
      <c r="BS102" s="61"/>
      <c r="BT102" s="61"/>
      <c r="BU102" s="61"/>
      <c r="BV102" s="61"/>
      <c r="BX102" s="133">
        <v>15</v>
      </c>
      <c r="BY102" s="133">
        <v>55</v>
      </c>
      <c r="BZ102" s="133">
        <v>175</v>
      </c>
      <c r="CA102" s="133">
        <v>50</v>
      </c>
      <c r="CB102" s="133" t="s">
        <v>161</v>
      </c>
      <c r="CC102" s="57" t="s">
        <v>55</v>
      </c>
      <c r="CD102" s="57">
        <v>1</v>
      </c>
      <c r="CS102" s="57">
        <v>2.1999999999999999E-2</v>
      </c>
      <c r="CT102" s="57" t="s">
        <v>889</v>
      </c>
    </row>
    <row r="103" spans="20:186" x14ac:dyDescent="0.25">
      <c r="T103" s="61"/>
      <c r="U103" s="129"/>
      <c r="V103" s="130"/>
      <c r="W103" s="130"/>
      <c r="X103" s="130"/>
      <c r="Y103" s="130">
        <v>13</v>
      </c>
      <c r="Z103" s="64">
        <v>-0.97499999999999998</v>
      </c>
      <c r="AA103" s="99"/>
      <c r="AB103" s="130"/>
      <c r="AO103" s="91"/>
      <c r="BM103" s="61"/>
      <c r="BN103" s="61"/>
      <c r="BO103" s="61"/>
      <c r="BP103" s="61"/>
      <c r="BQ103" s="61"/>
      <c r="BR103" s="61"/>
      <c r="BS103" s="61"/>
      <c r="BT103" s="61"/>
      <c r="BU103" s="61"/>
      <c r="BV103" s="61"/>
      <c r="BX103" s="133">
        <v>15.5</v>
      </c>
      <c r="BY103" s="133">
        <v>60</v>
      </c>
      <c r="BZ103" s="133">
        <v>175</v>
      </c>
      <c r="CA103" s="133">
        <v>50</v>
      </c>
      <c r="CB103" s="133" t="s">
        <v>162</v>
      </c>
      <c r="CC103" s="57" t="s">
        <v>55</v>
      </c>
      <c r="CD103" s="57">
        <v>2</v>
      </c>
      <c r="CS103" s="57">
        <v>2.3E-2</v>
      </c>
      <c r="CT103" s="57" t="s">
        <v>890</v>
      </c>
    </row>
    <row r="104" spans="20:186" x14ac:dyDescent="0.25">
      <c r="T104" s="61"/>
      <c r="U104" s="129"/>
      <c r="V104" s="130"/>
      <c r="W104" s="130"/>
      <c r="X104" s="130"/>
      <c r="Y104" s="130">
        <v>14</v>
      </c>
      <c r="Z104" s="64">
        <v>-1</v>
      </c>
      <c r="AA104" s="99"/>
      <c r="AB104" s="130"/>
      <c r="AO104" s="91"/>
      <c r="BM104" s="61"/>
      <c r="BN104" s="61"/>
      <c r="BO104" s="61"/>
      <c r="BP104" s="61"/>
      <c r="BQ104" s="61"/>
      <c r="BR104" s="61"/>
      <c r="BS104" s="61"/>
      <c r="BT104" s="61"/>
      <c r="BU104" s="61"/>
      <c r="BV104" s="61"/>
      <c r="BX104" s="133">
        <v>16</v>
      </c>
      <c r="BY104" s="133">
        <v>65</v>
      </c>
      <c r="BZ104" s="133">
        <v>175</v>
      </c>
      <c r="CA104" s="133">
        <v>50</v>
      </c>
      <c r="CB104" s="133" t="s">
        <v>163</v>
      </c>
      <c r="CC104" s="57" t="s">
        <v>55</v>
      </c>
      <c r="CD104" s="57">
        <v>3</v>
      </c>
      <c r="CS104" s="57">
        <v>2.4E-2</v>
      </c>
      <c r="CT104" s="57" t="s">
        <v>891</v>
      </c>
    </row>
    <row r="105" spans="20:186" x14ac:dyDescent="0.25">
      <c r="T105" s="61"/>
      <c r="U105" s="129"/>
      <c r="V105" s="130"/>
      <c r="W105" s="130"/>
      <c r="X105" s="130"/>
      <c r="Y105" s="130">
        <v>15</v>
      </c>
      <c r="Z105" s="64">
        <v>-1</v>
      </c>
      <c r="AA105" s="99"/>
      <c r="AB105" s="130"/>
      <c r="AO105" s="91"/>
      <c r="BM105" s="61"/>
      <c r="BN105" s="61"/>
      <c r="BO105" s="61"/>
      <c r="BP105" s="61"/>
      <c r="BQ105" s="61"/>
      <c r="BR105" s="61"/>
      <c r="BS105" s="61"/>
      <c r="BT105" s="61"/>
      <c r="BU105" s="61"/>
      <c r="BV105" s="61"/>
      <c r="BX105" s="133">
        <v>16.5</v>
      </c>
      <c r="BY105" s="133">
        <v>70</v>
      </c>
      <c r="BZ105" s="133">
        <v>175</v>
      </c>
      <c r="CA105" s="133">
        <v>50</v>
      </c>
      <c r="CB105" s="133" t="s">
        <v>164</v>
      </c>
      <c r="CC105" s="57" t="s">
        <v>56</v>
      </c>
      <c r="CD105" s="57">
        <v>4</v>
      </c>
      <c r="CS105" s="57">
        <v>2.5000000000000001E-2</v>
      </c>
      <c r="CT105" s="57" t="s">
        <v>892</v>
      </c>
    </row>
    <row r="106" spans="20:186" x14ac:dyDescent="0.25">
      <c r="T106" s="61"/>
      <c r="U106" s="129"/>
      <c r="V106" s="130"/>
      <c r="W106" s="130"/>
      <c r="X106" s="130"/>
      <c r="Y106" s="130">
        <v>16</v>
      </c>
      <c r="Z106" s="64">
        <v>-1</v>
      </c>
      <c r="AA106" s="99"/>
      <c r="AB106" s="130"/>
      <c r="AO106" s="91"/>
      <c r="BM106" s="61"/>
      <c r="BN106" s="61"/>
      <c r="BO106" s="61"/>
      <c r="BP106" s="61"/>
      <c r="BQ106" s="61"/>
      <c r="BR106" s="61"/>
      <c r="BS106" s="61"/>
      <c r="BT106" s="61"/>
      <c r="BU106" s="61"/>
      <c r="BV106" s="61"/>
      <c r="BX106" s="133">
        <v>17</v>
      </c>
      <c r="BY106" s="133">
        <v>75</v>
      </c>
      <c r="BZ106" s="133">
        <v>175</v>
      </c>
      <c r="CA106" s="133">
        <v>50</v>
      </c>
      <c r="CB106" s="133" t="s">
        <v>165</v>
      </c>
      <c r="CC106" s="57" t="s">
        <v>56</v>
      </c>
      <c r="CD106" s="57">
        <v>5</v>
      </c>
      <c r="CS106" s="57">
        <v>2.5999999999999999E-2</v>
      </c>
      <c r="CT106" s="57" t="s">
        <v>893</v>
      </c>
    </row>
    <row r="107" spans="20:186" x14ac:dyDescent="0.25">
      <c r="T107" s="61"/>
      <c r="U107" s="129"/>
      <c r="V107" s="130"/>
      <c r="W107" s="130"/>
      <c r="X107" s="130"/>
      <c r="Y107" s="130">
        <v>17</v>
      </c>
      <c r="Z107" s="64">
        <v>-1</v>
      </c>
      <c r="AA107" s="99"/>
      <c r="AB107" s="130"/>
      <c r="AO107" s="91"/>
      <c r="BM107" s="61"/>
      <c r="BN107" s="61"/>
      <c r="BO107" s="61"/>
      <c r="BP107" s="61"/>
      <c r="BQ107" s="61"/>
      <c r="BR107" s="61"/>
      <c r="BS107" s="61"/>
      <c r="BT107" s="61"/>
      <c r="BU107" s="61"/>
      <c r="BV107" s="61"/>
      <c r="BX107" s="133">
        <v>17.5</v>
      </c>
      <c r="BY107" s="133">
        <v>80</v>
      </c>
      <c r="BZ107" s="133">
        <v>175</v>
      </c>
      <c r="CA107" s="133">
        <v>50</v>
      </c>
      <c r="CB107" s="133" t="s">
        <v>166</v>
      </c>
      <c r="CC107" s="57" t="s">
        <v>56</v>
      </c>
      <c r="CD107" s="57">
        <v>6</v>
      </c>
      <c r="CS107" s="57">
        <v>2.7E-2</v>
      </c>
      <c r="CT107" s="57" t="s">
        <v>894</v>
      </c>
    </row>
    <row r="108" spans="20:186" x14ac:dyDescent="0.25">
      <c r="T108" s="61"/>
      <c r="U108" s="129"/>
      <c r="V108" s="130"/>
      <c r="W108" s="130"/>
      <c r="X108" s="130"/>
      <c r="Y108" s="130">
        <v>18</v>
      </c>
      <c r="Z108" s="64">
        <v>-1</v>
      </c>
      <c r="AA108" s="99"/>
      <c r="AB108" s="130"/>
      <c r="AO108" s="91"/>
      <c r="BM108" s="61"/>
      <c r="BN108" s="61"/>
      <c r="BO108" s="61"/>
      <c r="BP108" s="61"/>
      <c r="BQ108" s="61"/>
      <c r="BR108" s="61"/>
      <c r="BS108" s="61"/>
      <c r="BT108" s="61"/>
      <c r="BU108" s="61"/>
      <c r="BV108" s="61"/>
      <c r="BX108" s="133">
        <v>18</v>
      </c>
      <c r="BY108" s="133">
        <v>85</v>
      </c>
      <c r="BZ108" s="133">
        <v>175</v>
      </c>
      <c r="CA108" s="133">
        <v>50</v>
      </c>
      <c r="CB108" s="133" t="s">
        <v>167</v>
      </c>
      <c r="CC108" s="57" t="s">
        <v>57</v>
      </c>
      <c r="CD108" s="57">
        <v>7</v>
      </c>
      <c r="CS108" s="57">
        <v>2.8000000000000001E-2</v>
      </c>
      <c r="CT108" s="57" t="s">
        <v>895</v>
      </c>
    </row>
    <row r="109" spans="20:186" x14ac:dyDescent="0.25">
      <c r="T109" s="61"/>
      <c r="U109" s="129"/>
      <c r="V109" s="130"/>
      <c r="W109" s="130"/>
      <c r="X109" s="130"/>
      <c r="Y109" s="130">
        <v>19</v>
      </c>
      <c r="Z109" s="64">
        <v>-1</v>
      </c>
      <c r="AA109" s="99"/>
      <c r="AB109" s="130"/>
      <c r="AO109" s="91"/>
      <c r="BM109" s="61"/>
      <c r="BN109" s="61"/>
      <c r="BO109" s="61"/>
      <c r="BP109" s="61"/>
      <c r="BQ109" s="61"/>
      <c r="BR109" s="61"/>
      <c r="BS109" s="61"/>
      <c r="BT109" s="61"/>
      <c r="BU109" s="61"/>
      <c r="BV109" s="61"/>
      <c r="BX109" s="133">
        <v>18.5</v>
      </c>
      <c r="BY109" s="133">
        <v>90</v>
      </c>
      <c r="BZ109" s="133">
        <v>175</v>
      </c>
      <c r="CA109" s="133">
        <v>50</v>
      </c>
      <c r="CB109" s="133" t="s">
        <v>168</v>
      </c>
      <c r="CC109" s="57" t="s">
        <v>57</v>
      </c>
      <c r="CD109" s="57">
        <v>8</v>
      </c>
      <c r="CS109" s="57">
        <v>2.9000000000000001E-2</v>
      </c>
      <c r="CT109" s="57" t="s">
        <v>896</v>
      </c>
    </row>
    <row r="110" spans="20:186" x14ac:dyDescent="0.25">
      <c r="T110" s="61"/>
      <c r="U110" s="129"/>
      <c r="V110" s="130"/>
      <c r="W110" s="130"/>
      <c r="X110" s="130"/>
      <c r="Y110" s="130">
        <v>20</v>
      </c>
      <c r="Z110" s="64">
        <v>-1</v>
      </c>
      <c r="AA110" s="99"/>
      <c r="AB110" s="130"/>
      <c r="AO110" s="91"/>
      <c r="BM110" s="61"/>
      <c r="BN110" s="61"/>
      <c r="BO110" s="61"/>
      <c r="BP110" s="61"/>
      <c r="BQ110" s="61"/>
      <c r="BR110" s="61"/>
      <c r="BS110" s="61"/>
      <c r="BT110" s="61"/>
      <c r="BU110" s="61"/>
      <c r="BV110" s="61"/>
      <c r="BX110" s="133">
        <v>19</v>
      </c>
      <c r="BY110" s="133">
        <v>95</v>
      </c>
      <c r="BZ110" s="133">
        <v>175</v>
      </c>
      <c r="CA110" s="133">
        <v>50</v>
      </c>
      <c r="CB110" s="133" t="s">
        <v>169</v>
      </c>
      <c r="CC110" s="57" t="s">
        <v>57</v>
      </c>
      <c r="CD110" s="57">
        <v>9</v>
      </c>
      <c r="CS110" s="57">
        <v>0.03</v>
      </c>
      <c r="CT110" s="57" t="s">
        <v>897</v>
      </c>
    </row>
    <row r="111" spans="20:186" x14ac:dyDescent="0.25">
      <c r="T111" s="61"/>
      <c r="U111" s="129"/>
      <c r="V111" s="130"/>
      <c r="W111" s="130"/>
      <c r="X111" s="130"/>
      <c r="Y111" s="130">
        <v>21</v>
      </c>
      <c r="Z111" s="64">
        <v>-1</v>
      </c>
      <c r="AA111" s="99"/>
      <c r="AB111" s="130"/>
      <c r="AO111" s="91"/>
      <c r="BM111" s="61"/>
      <c r="BN111" s="61"/>
      <c r="BO111" s="61"/>
      <c r="BP111" s="61"/>
      <c r="BQ111" s="61"/>
      <c r="BR111" s="61"/>
      <c r="BS111" s="61"/>
      <c r="BT111" s="61"/>
      <c r="BU111" s="61"/>
      <c r="BV111" s="61"/>
      <c r="BX111" s="133">
        <v>19.5</v>
      </c>
      <c r="BY111" s="133">
        <v>100</v>
      </c>
      <c r="BZ111" s="133">
        <v>175</v>
      </c>
      <c r="CA111" s="133">
        <v>50</v>
      </c>
      <c r="CB111" s="133" t="s">
        <v>170</v>
      </c>
      <c r="CC111" s="57" t="s">
        <v>58</v>
      </c>
      <c r="CD111" s="57">
        <v>10</v>
      </c>
      <c r="CS111" s="57">
        <v>3.1E-2</v>
      </c>
      <c r="CT111" s="57" t="s">
        <v>898</v>
      </c>
    </row>
    <row r="112" spans="20:186" x14ac:dyDescent="0.25">
      <c r="T112" s="61"/>
      <c r="U112" s="129"/>
      <c r="V112" s="130"/>
      <c r="W112" s="130"/>
      <c r="X112" s="130"/>
      <c r="Y112" s="130">
        <v>22</v>
      </c>
      <c r="Z112" s="64">
        <v>-1</v>
      </c>
      <c r="AA112" s="99"/>
      <c r="AB112" s="130"/>
      <c r="AO112" s="91"/>
      <c r="BM112" s="61"/>
      <c r="BN112" s="61"/>
      <c r="BO112" s="61"/>
      <c r="BP112" s="61"/>
      <c r="BQ112" s="61"/>
      <c r="BR112" s="61"/>
      <c r="BS112" s="61"/>
      <c r="BT112" s="61"/>
      <c r="BU112" s="61"/>
      <c r="BV112" s="61"/>
      <c r="BX112" s="133">
        <v>20</v>
      </c>
      <c r="BY112" s="133">
        <v>105</v>
      </c>
      <c r="BZ112" s="133">
        <v>175</v>
      </c>
      <c r="CA112" s="133">
        <v>50</v>
      </c>
      <c r="CB112" s="133" t="s">
        <v>171</v>
      </c>
      <c r="CC112" s="57" t="s">
        <v>58</v>
      </c>
      <c r="CD112" s="57">
        <v>11</v>
      </c>
      <c r="CS112" s="57">
        <v>3.2000000000000001E-2</v>
      </c>
      <c r="CT112" s="57" t="s">
        <v>899</v>
      </c>
    </row>
    <row r="113" spans="7:98" x14ac:dyDescent="0.25">
      <c r="T113" s="61"/>
      <c r="U113" s="129"/>
      <c r="V113" s="130"/>
      <c r="W113" s="130"/>
      <c r="X113" s="130"/>
      <c r="Y113" s="130">
        <v>23</v>
      </c>
      <c r="Z113" s="64">
        <v>-1</v>
      </c>
      <c r="AA113" s="99"/>
      <c r="AB113" s="130"/>
      <c r="AO113" s="91"/>
      <c r="BM113" s="61"/>
      <c r="BN113" s="61"/>
      <c r="BO113" s="61"/>
      <c r="BP113" s="61"/>
      <c r="BQ113" s="61"/>
      <c r="BR113" s="61"/>
      <c r="BS113" s="61"/>
      <c r="BT113" s="61"/>
      <c r="BU113" s="61"/>
      <c r="BV113" s="61"/>
      <c r="BX113" s="133">
        <v>20.5</v>
      </c>
      <c r="BY113" s="133">
        <v>110</v>
      </c>
      <c r="BZ113" s="133">
        <v>175</v>
      </c>
      <c r="CA113" s="133">
        <v>50</v>
      </c>
      <c r="CB113" s="133" t="s">
        <v>172</v>
      </c>
      <c r="CC113" s="57" t="s">
        <v>58</v>
      </c>
      <c r="CD113" s="57">
        <v>12</v>
      </c>
      <c r="CS113" s="57">
        <v>3.3000000000000002E-2</v>
      </c>
      <c r="CT113" s="57" t="s">
        <v>900</v>
      </c>
    </row>
    <row r="114" spans="7:98" ht="15.75" thickBot="1" x14ac:dyDescent="0.3">
      <c r="T114" s="61"/>
      <c r="U114" s="131"/>
      <c r="V114" s="132"/>
      <c r="W114" s="132"/>
      <c r="X114" s="132"/>
      <c r="Y114" s="132">
        <v>24</v>
      </c>
      <c r="Z114" s="105">
        <v>-1</v>
      </c>
      <c r="AA114" s="106"/>
      <c r="AB114" s="130"/>
      <c r="AO114" s="91"/>
      <c r="BM114" s="61"/>
      <c r="BN114" s="61"/>
      <c r="BO114" s="61"/>
      <c r="BP114" s="61"/>
      <c r="BQ114" s="61"/>
      <c r="BR114" s="61"/>
      <c r="BS114" s="61"/>
      <c r="BT114" s="61"/>
      <c r="BU114" s="61"/>
      <c r="BV114" s="61"/>
      <c r="BX114" s="133">
        <v>21</v>
      </c>
      <c r="BY114" s="133">
        <v>115</v>
      </c>
      <c r="BZ114" s="133">
        <v>175</v>
      </c>
      <c r="CA114" s="133">
        <v>50</v>
      </c>
      <c r="CB114" s="133" t="s">
        <v>173</v>
      </c>
      <c r="CC114" s="57" t="s">
        <v>59</v>
      </c>
      <c r="CD114" s="57">
        <v>13</v>
      </c>
      <c r="CS114" s="57">
        <v>3.4000000000000002E-2</v>
      </c>
      <c r="CT114" s="57" t="s">
        <v>901</v>
      </c>
    </row>
    <row r="115" spans="7:98" x14ac:dyDescent="0.25">
      <c r="T115" s="61"/>
      <c r="U115" s="130"/>
      <c r="V115" s="130"/>
      <c r="W115" s="130"/>
      <c r="X115" s="130"/>
      <c r="Y115" s="130"/>
      <c r="Z115" s="64"/>
      <c r="AA115" s="64"/>
      <c r="AB115" s="130"/>
      <c r="AO115" s="91"/>
      <c r="BM115" s="61"/>
      <c r="BN115" s="61"/>
      <c r="BO115" s="61"/>
      <c r="BP115" s="61"/>
      <c r="BQ115" s="61"/>
      <c r="BR115" s="61"/>
      <c r="BS115" s="61"/>
      <c r="BT115" s="61"/>
      <c r="BU115" s="61"/>
      <c r="BV115" s="61"/>
      <c r="BX115" s="133">
        <v>21.5</v>
      </c>
      <c r="BY115" s="133">
        <v>120</v>
      </c>
      <c r="BZ115" s="133">
        <v>175</v>
      </c>
      <c r="CA115" s="133">
        <v>50</v>
      </c>
      <c r="CB115" s="133" t="s">
        <v>174</v>
      </c>
      <c r="CC115" s="57" t="s">
        <v>59</v>
      </c>
      <c r="CD115" s="57">
        <v>14</v>
      </c>
      <c r="CS115" s="57">
        <v>3.5000000000000003E-2</v>
      </c>
      <c r="CT115" s="57" t="s">
        <v>902</v>
      </c>
    </row>
    <row r="116" spans="7:98" ht="15.75" thickBot="1" x14ac:dyDescent="0.3">
      <c r="T116" s="61"/>
      <c r="U116" s="149" t="s">
        <v>792</v>
      </c>
      <c r="V116" s="149"/>
      <c r="W116" s="149"/>
      <c r="X116" s="149"/>
      <c r="Y116" s="149"/>
      <c r="Z116" s="149"/>
      <c r="AA116" s="149"/>
      <c r="AB116" s="130"/>
      <c r="AC116" s="149" t="s">
        <v>821</v>
      </c>
      <c r="AD116" s="149"/>
      <c r="AE116" s="149"/>
      <c r="AF116" s="149"/>
      <c r="AG116" s="149"/>
      <c r="AH116" s="149"/>
      <c r="AI116" s="149"/>
      <c r="AJ116" s="149"/>
      <c r="AL116" s="149" t="s">
        <v>820</v>
      </c>
      <c r="AM116" s="149"/>
      <c r="AN116" s="149"/>
      <c r="AO116" s="149"/>
      <c r="AP116" s="149"/>
      <c r="AQ116" s="149"/>
      <c r="AR116" s="149"/>
      <c r="AS116" s="149"/>
      <c r="AT116" s="149"/>
      <c r="AU116" s="149"/>
      <c r="AV116" s="149"/>
      <c r="AW116" s="149"/>
      <c r="BB116" s="149" t="s">
        <v>818</v>
      </c>
      <c r="BC116" s="149"/>
      <c r="BD116" s="149"/>
      <c r="BE116" s="149"/>
      <c r="BF116" s="149"/>
      <c r="BG116" s="149"/>
      <c r="BH116" s="149"/>
      <c r="BI116" s="149"/>
      <c r="BJ116" s="149"/>
      <c r="BK116" s="149"/>
      <c r="BM116" s="149" t="s">
        <v>819</v>
      </c>
      <c r="BN116" s="149"/>
      <c r="BO116" s="149"/>
      <c r="BP116" s="149"/>
      <c r="BQ116" s="149"/>
      <c r="BR116" s="149"/>
      <c r="BS116" s="149"/>
      <c r="BT116" s="149"/>
      <c r="BU116" s="149"/>
      <c r="BV116" s="149"/>
      <c r="BX116" s="133">
        <v>22</v>
      </c>
      <c r="BY116" s="133">
        <v>125</v>
      </c>
      <c r="BZ116" s="133">
        <v>175</v>
      </c>
      <c r="CA116" s="133">
        <v>50</v>
      </c>
      <c r="CB116" s="133" t="s">
        <v>175</v>
      </c>
      <c r="CC116" s="57" t="s">
        <v>59</v>
      </c>
      <c r="CD116" s="57">
        <v>15</v>
      </c>
      <c r="CS116" s="57">
        <v>3.5999999999999997E-2</v>
      </c>
      <c r="CT116" s="57" t="s">
        <v>903</v>
      </c>
    </row>
    <row r="117" spans="7:98" x14ac:dyDescent="0.25">
      <c r="T117" s="61"/>
      <c r="U117" s="135" t="s">
        <v>1</v>
      </c>
      <c r="V117" s="136" t="s">
        <v>17</v>
      </c>
      <c r="W117" s="136"/>
      <c r="X117" s="136" t="s">
        <v>2</v>
      </c>
      <c r="Y117" s="136" t="s">
        <v>17</v>
      </c>
      <c r="Z117" s="136"/>
      <c r="AA117" s="137"/>
      <c r="AB117" s="130"/>
      <c r="AC117" s="151" t="s">
        <v>777</v>
      </c>
      <c r="AD117" s="152"/>
      <c r="AE117" s="152"/>
      <c r="AF117" s="152"/>
      <c r="AG117" s="152" t="s">
        <v>778</v>
      </c>
      <c r="AH117" s="152"/>
      <c r="AI117" s="152"/>
      <c r="AJ117" s="153"/>
      <c r="AL117" s="151" t="s">
        <v>777</v>
      </c>
      <c r="AM117" s="152"/>
      <c r="AN117" s="152"/>
      <c r="AO117" s="152"/>
      <c r="AP117" s="152"/>
      <c r="AQ117" s="152"/>
      <c r="AR117" s="152" t="s">
        <v>778</v>
      </c>
      <c r="AS117" s="152"/>
      <c r="AT117" s="152"/>
      <c r="AU117" s="152"/>
      <c r="AV117" s="152"/>
      <c r="AW117" s="153"/>
      <c r="AY117" s="135" t="s">
        <v>18</v>
      </c>
      <c r="AZ117" s="137" t="s">
        <v>17</v>
      </c>
      <c r="BA117" s="133"/>
      <c r="BB117" s="151" t="s">
        <v>777</v>
      </c>
      <c r="BC117" s="152"/>
      <c r="BD117" s="152"/>
      <c r="BE117" s="152"/>
      <c r="BF117" s="152" t="s">
        <v>778</v>
      </c>
      <c r="BG117" s="152"/>
      <c r="BH117" s="152"/>
      <c r="BI117" s="152"/>
      <c r="BJ117" s="107"/>
      <c r="BK117" s="108"/>
      <c r="BM117" s="135" t="s">
        <v>25</v>
      </c>
      <c r="BN117" s="136" t="s">
        <v>17</v>
      </c>
      <c r="BO117" s="136" t="s">
        <v>13</v>
      </c>
      <c r="BP117" s="136" t="s">
        <v>17</v>
      </c>
      <c r="BQ117" s="136" t="s">
        <v>25</v>
      </c>
      <c r="BR117" s="136" t="s">
        <v>17</v>
      </c>
      <c r="BS117" s="136" t="s">
        <v>13</v>
      </c>
      <c r="BT117" s="136" t="s">
        <v>17</v>
      </c>
      <c r="BU117" s="136" t="s">
        <v>26</v>
      </c>
      <c r="BV117" s="137" t="s">
        <v>17</v>
      </c>
      <c r="BX117" s="133">
        <v>22.5</v>
      </c>
      <c r="BY117" s="133">
        <v>130</v>
      </c>
      <c r="BZ117" s="133">
        <v>175</v>
      </c>
      <c r="CA117" s="133">
        <v>50</v>
      </c>
      <c r="CB117" s="133" t="s">
        <v>176</v>
      </c>
      <c r="CC117" s="57" t="s">
        <v>59</v>
      </c>
      <c r="CD117" s="57">
        <v>16</v>
      </c>
      <c r="CS117" s="57">
        <v>3.6999999999999998E-2</v>
      </c>
      <c r="CT117" s="57" t="s">
        <v>904</v>
      </c>
    </row>
    <row r="118" spans="7:98" ht="15.75" thickBot="1" x14ac:dyDescent="0.3">
      <c r="Q118" s="148" t="s">
        <v>793</v>
      </c>
      <c r="R118" s="148"/>
      <c r="S118" s="148"/>
      <c r="T118" s="61"/>
      <c r="U118" s="129">
        <v>10</v>
      </c>
      <c r="V118" s="130">
        <v>5</v>
      </c>
      <c r="W118" s="130"/>
      <c r="X118" s="130">
        <v>100</v>
      </c>
      <c r="Y118" s="130">
        <v>35</v>
      </c>
      <c r="Z118" s="130"/>
      <c r="AA118" s="63"/>
      <c r="AB118" s="130"/>
      <c r="AC118" s="129" t="s">
        <v>4</v>
      </c>
      <c r="AD118" s="130" t="s">
        <v>17</v>
      </c>
      <c r="AE118" s="130" t="s">
        <v>6</v>
      </c>
      <c r="AF118" s="130" t="s">
        <v>17</v>
      </c>
      <c r="AG118" s="130" t="s">
        <v>4</v>
      </c>
      <c r="AH118" s="130" t="s">
        <v>17</v>
      </c>
      <c r="AI118" s="130" t="s">
        <v>6</v>
      </c>
      <c r="AJ118" s="63" t="s">
        <v>17</v>
      </c>
      <c r="AL118" s="129" t="s">
        <v>9</v>
      </c>
      <c r="AM118" s="130" t="s">
        <v>17</v>
      </c>
      <c r="AN118" s="130" t="s">
        <v>10</v>
      </c>
      <c r="AO118" s="130" t="s">
        <v>17</v>
      </c>
      <c r="AP118" s="130" t="s">
        <v>42</v>
      </c>
      <c r="AQ118" s="130" t="s">
        <v>17</v>
      </c>
      <c r="AR118" s="130" t="s">
        <v>9</v>
      </c>
      <c r="AS118" s="130" t="s">
        <v>17</v>
      </c>
      <c r="AT118" s="130" t="s">
        <v>10</v>
      </c>
      <c r="AU118" s="130" t="s">
        <v>17</v>
      </c>
      <c r="AV118" s="130" t="s">
        <v>42</v>
      </c>
      <c r="AW118" s="63" t="s">
        <v>17</v>
      </c>
      <c r="AY118" s="73" t="s">
        <v>715</v>
      </c>
      <c r="AZ118" s="72">
        <v>0.1</v>
      </c>
      <c r="BA118" s="74"/>
      <c r="BB118" s="129" t="s">
        <v>779</v>
      </c>
      <c r="BC118" s="130" t="s">
        <v>17</v>
      </c>
      <c r="BD118" s="130" t="s">
        <v>9</v>
      </c>
      <c r="BE118" s="130" t="s">
        <v>17</v>
      </c>
      <c r="BF118" s="130" t="s">
        <v>779</v>
      </c>
      <c r="BG118" s="130" t="s">
        <v>17</v>
      </c>
      <c r="BH118" s="130" t="s">
        <v>9</v>
      </c>
      <c r="BI118" s="130" t="s">
        <v>17</v>
      </c>
      <c r="BJ118" s="130" t="s">
        <v>23</v>
      </c>
      <c r="BK118" s="63" t="s">
        <v>17</v>
      </c>
      <c r="BM118" s="76">
        <v>2.46</v>
      </c>
      <c r="BN118" s="75">
        <v>1</v>
      </c>
      <c r="BO118" s="77">
        <v>0</v>
      </c>
      <c r="BP118" s="75">
        <v>-1</v>
      </c>
      <c r="BQ118" s="109">
        <v>2.46</v>
      </c>
      <c r="BR118" s="75">
        <v>1</v>
      </c>
      <c r="BS118" s="77">
        <v>0</v>
      </c>
      <c r="BT118" s="75">
        <v>0</v>
      </c>
      <c r="BU118" s="77">
        <v>0</v>
      </c>
      <c r="BV118" s="78">
        <v>-0.5</v>
      </c>
      <c r="BX118" s="133">
        <v>23</v>
      </c>
      <c r="BY118" s="133">
        <v>135</v>
      </c>
      <c r="BZ118" s="133">
        <v>175</v>
      </c>
      <c r="CA118" s="133">
        <v>50</v>
      </c>
      <c r="CB118" s="133" t="s">
        <v>177</v>
      </c>
      <c r="CC118" s="57" t="s">
        <v>59</v>
      </c>
      <c r="CD118" s="57">
        <v>17</v>
      </c>
      <c r="CS118" s="57">
        <v>3.7999999999999999E-2</v>
      </c>
      <c r="CT118" s="57" t="s">
        <v>905</v>
      </c>
    </row>
    <row r="119" spans="7:98" x14ac:dyDescent="0.25">
      <c r="Q119" s="151" t="s">
        <v>730</v>
      </c>
      <c r="R119" s="152"/>
      <c r="S119" s="60">
        <f>W170</f>
        <v>4.21875</v>
      </c>
      <c r="T119" s="61"/>
      <c r="U119" s="129">
        <v>10.5</v>
      </c>
      <c r="V119" s="130">
        <v>10</v>
      </c>
      <c r="W119" s="130"/>
      <c r="X119" s="130">
        <v>125</v>
      </c>
      <c r="Y119" s="130">
        <v>40</v>
      </c>
      <c r="Z119" s="130"/>
      <c r="AA119" s="63"/>
      <c r="AB119" s="130"/>
      <c r="AC119" s="129">
        <v>0</v>
      </c>
      <c r="AD119" s="64">
        <v>0.9</v>
      </c>
      <c r="AE119" s="130">
        <v>5</v>
      </c>
      <c r="AF119" s="65">
        <v>1</v>
      </c>
      <c r="AG119" s="130">
        <v>0</v>
      </c>
      <c r="AH119" s="64">
        <v>1</v>
      </c>
      <c r="AI119" s="130">
        <v>5</v>
      </c>
      <c r="AJ119" s="99">
        <v>1</v>
      </c>
      <c r="AL119" s="68">
        <v>30</v>
      </c>
      <c r="AM119" s="69">
        <v>1</v>
      </c>
      <c r="AN119" s="61">
        <v>15</v>
      </c>
      <c r="AO119" s="71">
        <v>0.9</v>
      </c>
      <c r="AP119" s="130" t="s">
        <v>48</v>
      </c>
      <c r="AQ119" s="69">
        <v>-0.9</v>
      </c>
      <c r="AR119" s="61">
        <v>30</v>
      </c>
      <c r="AS119" s="69">
        <v>1</v>
      </c>
      <c r="AT119" s="61">
        <v>15</v>
      </c>
      <c r="AU119" s="71">
        <v>0.95</v>
      </c>
      <c r="AV119" s="130" t="s">
        <v>48</v>
      </c>
      <c r="AW119" s="72">
        <v>0.05</v>
      </c>
      <c r="AY119" s="73" t="s">
        <v>711</v>
      </c>
      <c r="AZ119" s="72">
        <v>0.3</v>
      </c>
      <c r="BA119" s="74"/>
      <c r="BB119" s="129" t="s">
        <v>788</v>
      </c>
      <c r="BC119" s="64">
        <v>-0.5</v>
      </c>
      <c r="BD119" s="130" t="s">
        <v>20</v>
      </c>
      <c r="BE119" s="64">
        <v>0.8</v>
      </c>
      <c r="BF119" s="130" t="s">
        <v>788</v>
      </c>
      <c r="BG119" s="64">
        <v>0.85</v>
      </c>
      <c r="BH119" s="130" t="s">
        <v>20</v>
      </c>
      <c r="BI119" s="64">
        <v>0.9</v>
      </c>
      <c r="BJ119" s="130" t="s">
        <v>7</v>
      </c>
      <c r="BK119" s="63" t="b">
        <v>1</v>
      </c>
      <c r="BM119" s="76">
        <v>2.4700000000000002</v>
      </c>
      <c r="BN119" s="75">
        <v>0.9</v>
      </c>
      <c r="BO119" s="77">
        <v>1E-3</v>
      </c>
      <c r="BP119" s="75">
        <v>-1</v>
      </c>
      <c r="BQ119" s="109">
        <v>2.4700000000000002</v>
      </c>
      <c r="BR119" s="75">
        <v>0.95</v>
      </c>
      <c r="BS119" s="77">
        <v>1E-3</v>
      </c>
      <c r="BT119" s="75">
        <v>0</v>
      </c>
      <c r="BU119" s="77">
        <v>1E-3</v>
      </c>
      <c r="BV119" s="78">
        <v>-0.45</v>
      </c>
      <c r="BX119" s="133">
        <v>23.5</v>
      </c>
      <c r="BY119" s="133">
        <v>140</v>
      </c>
      <c r="BZ119" s="133">
        <v>175</v>
      </c>
      <c r="CA119" s="133">
        <v>50</v>
      </c>
      <c r="CB119" s="133" t="s">
        <v>178</v>
      </c>
      <c r="CC119" s="57" t="s">
        <v>59</v>
      </c>
      <c r="CD119" s="57">
        <v>18</v>
      </c>
      <c r="CS119" s="57">
        <v>3.9E-2</v>
      </c>
      <c r="CT119" s="57" t="s">
        <v>906</v>
      </c>
    </row>
    <row r="120" spans="7:98" x14ac:dyDescent="0.25">
      <c r="Q120" s="147" t="s">
        <v>731</v>
      </c>
      <c r="R120" s="148"/>
      <c r="S120" s="62">
        <f>(AE159)</f>
        <v>3.375</v>
      </c>
      <c r="T120" s="61"/>
      <c r="U120" s="129">
        <v>11</v>
      </c>
      <c r="V120" s="130">
        <v>15</v>
      </c>
      <c r="W120" s="130"/>
      <c r="X120" s="130">
        <v>150</v>
      </c>
      <c r="Y120" s="130">
        <v>45</v>
      </c>
      <c r="Z120" s="130"/>
      <c r="AA120" s="63"/>
      <c r="AB120" s="130"/>
      <c r="AC120" s="129">
        <v>3</v>
      </c>
      <c r="AD120" s="64">
        <v>0.75</v>
      </c>
      <c r="AE120" s="130">
        <v>10</v>
      </c>
      <c r="AF120" s="65">
        <v>1</v>
      </c>
      <c r="AG120" s="130">
        <v>3</v>
      </c>
      <c r="AH120" s="64">
        <v>1</v>
      </c>
      <c r="AI120" s="130">
        <v>10</v>
      </c>
      <c r="AJ120" s="99">
        <v>1</v>
      </c>
      <c r="AL120" s="68">
        <v>31</v>
      </c>
      <c r="AM120" s="69">
        <v>1</v>
      </c>
      <c r="AN120" s="61">
        <v>16</v>
      </c>
      <c r="AO120" s="71">
        <v>0.8</v>
      </c>
      <c r="AP120" s="130" t="s">
        <v>43</v>
      </c>
      <c r="AQ120" s="69">
        <v>-0.6</v>
      </c>
      <c r="AR120" s="61">
        <v>31</v>
      </c>
      <c r="AS120" s="69">
        <v>1</v>
      </c>
      <c r="AT120" s="61">
        <v>16</v>
      </c>
      <c r="AU120" s="71">
        <v>0.9</v>
      </c>
      <c r="AV120" s="130" t="s">
        <v>43</v>
      </c>
      <c r="AW120" s="72">
        <v>0.2</v>
      </c>
      <c r="AY120" s="73" t="s">
        <v>19</v>
      </c>
      <c r="AZ120" s="72">
        <v>0.5</v>
      </c>
      <c r="BA120" s="74"/>
      <c r="BB120" s="129" t="s">
        <v>789</v>
      </c>
      <c r="BC120" s="64">
        <v>0</v>
      </c>
      <c r="BD120" s="130" t="s">
        <v>11</v>
      </c>
      <c r="BE120" s="64">
        <v>0.4</v>
      </c>
      <c r="BF120" s="130" t="s">
        <v>789</v>
      </c>
      <c r="BG120" s="64">
        <v>0.5</v>
      </c>
      <c r="BH120" s="130" t="s">
        <v>11</v>
      </c>
      <c r="BI120" s="64">
        <v>0.7</v>
      </c>
      <c r="BJ120" s="130" t="s">
        <v>24</v>
      </c>
      <c r="BK120" s="63" t="b">
        <v>0</v>
      </c>
      <c r="BM120" s="76">
        <v>2.48</v>
      </c>
      <c r="BN120" s="75">
        <v>0.75</v>
      </c>
      <c r="BO120" s="77">
        <v>2E-3</v>
      </c>
      <c r="BP120" s="75">
        <v>-1</v>
      </c>
      <c r="BQ120" s="109">
        <v>2.48</v>
      </c>
      <c r="BR120" s="75">
        <v>0.875</v>
      </c>
      <c r="BS120" s="77">
        <v>2E-3</v>
      </c>
      <c r="BT120" s="75">
        <v>0</v>
      </c>
      <c r="BU120" s="77">
        <v>2E-3</v>
      </c>
      <c r="BV120" s="78">
        <v>-0.4</v>
      </c>
      <c r="BX120" s="133">
        <v>24</v>
      </c>
      <c r="BY120" s="133">
        <v>145</v>
      </c>
      <c r="BZ120" s="133">
        <v>175</v>
      </c>
      <c r="CA120" s="133">
        <v>50</v>
      </c>
      <c r="CB120" s="133" t="s">
        <v>179</v>
      </c>
      <c r="CC120" s="57" t="s">
        <v>59</v>
      </c>
      <c r="CD120" s="57">
        <v>19</v>
      </c>
      <c r="CS120" s="57">
        <v>0.04</v>
      </c>
      <c r="CT120" s="57" t="s">
        <v>907</v>
      </c>
    </row>
    <row r="121" spans="7:98" x14ac:dyDescent="0.25">
      <c r="Q121" s="147" t="s">
        <v>732</v>
      </c>
      <c r="R121" s="148"/>
      <c r="S121" s="62">
        <f>(AP169)</f>
        <v>4.1871093750000004</v>
      </c>
      <c r="T121" s="61"/>
      <c r="U121" s="129">
        <v>11.5</v>
      </c>
      <c r="V121" s="130">
        <v>20</v>
      </c>
      <c r="W121" s="130"/>
      <c r="X121" s="130">
        <v>175</v>
      </c>
      <c r="Y121" s="130">
        <v>50</v>
      </c>
      <c r="Z121" s="130"/>
      <c r="AA121" s="63"/>
      <c r="AB121" s="130"/>
      <c r="AC121" s="129">
        <v>6</v>
      </c>
      <c r="AD121" s="64">
        <v>0.6</v>
      </c>
      <c r="AE121" s="130">
        <v>15</v>
      </c>
      <c r="AF121" s="65">
        <v>0.9</v>
      </c>
      <c r="AG121" s="130">
        <v>6</v>
      </c>
      <c r="AH121" s="64">
        <v>0.9</v>
      </c>
      <c r="AI121" s="130">
        <v>15</v>
      </c>
      <c r="AJ121" s="99">
        <v>0.9</v>
      </c>
      <c r="AL121" s="68">
        <v>32</v>
      </c>
      <c r="AM121" s="69">
        <v>1</v>
      </c>
      <c r="AN121" s="61">
        <v>17</v>
      </c>
      <c r="AO121" s="71">
        <v>0.7</v>
      </c>
      <c r="AP121" s="130" t="s">
        <v>46</v>
      </c>
      <c r="AQ121" s="69">
        <v>-0.3</v>
      </c>
      <c r="AR121" s="61">
        <v>32</v>
      </c>
      <c r="AS121" s="69">
        <v>1</v>
      </c>
      <c r="AT121" s="61">
        <v>17</v>
      </c>
      <c r="AU121" s="71">
        <v>0.85</v>
      </c>
      <c r="AV121" s="130" t="s">
        <v>46</v>
      </c>
      <c r="AW121" s="72">
        <v>0.4</v>
      </c>
      <c r="AY121" s="73" t="s">
        <v>5</v>
      </c>
      <c r="AZ121" s="72">
        <v>0.7</v>
      </c>
      <c r="BA121" s="74"/>
      <c r="BB121" s="129" t="s">
        <v>740</v>
      </c>
      <c r="BC121" s="64">
        <v>0.5</v>
      </c>
      <c r="BD121" s="130" t="s">
        <v>19</v>
      </c>
      <c r="BE121" s="64">
        <v>0</v>
      </c>
      <c r="BF121" s="130" t="s">
        <v>740</v>
      </c>
      <c r="BG121" s="64">
        <v>0.15</v>
      </c>
      <c r="BH121" s="130" t="s">
        <v>19</v>
      </c>
      <c r="BI121" s="64">
        <v>0.5</v>
      </c>
      <c r="BJ121" s="130"/>
      <c r="BK121" s="63"/>
      <c r="BM121" s="76">
        <v>2.4900000000000002</v>
      </c>
      <c r="BN121" s="75">
        <v>0.6</v>
      </c>
      <c r="BO121" s="77">
        <v>3.0000000000000001E-3</v>
      </c>
      <c r="BP121" s="75">
        <v>-1</v>
      </c>
      <c r="BQ121" s="109">
        <v>2.4900000000000002</v>
      </c>
      <c r="BR121" s="75">
        <v>0.8</v>
      </c>
      <c r="BS121" s="77">
        <v>3.0000000000000001E-3</v>
      </c>
      <c r="BT121" s="75">
        <v>0</v>
      </c>
      <c r="BU121" s="77">
        <v>3.0000000000000001E-3</v>
      </c>
      <c r="BV121" s="78">
        <v>-0.35</v>
      </c>
      <c r="BX121" s="133">
        <v>24.5</v>
      </c>
      <c r="BY121" s="133">
        <v>150</v>
      </c>
      <c r="BZ121" s="133">
        <v>175</v>
      </c>
      <c r="CA121" s="133">
        <v>50</v>
      </c>
      <c r="CB121" s="133" t="s">
        <v>180</v>
      </c>
      <c r="CC121" s="57" t="s">
        <v>59</v>
      </c>
      <c r="CD121" s="57">
        <v>20</v>
      </c>
      <c r="CS121" s="57">
        <v>4.1000000000000002E-2</v>
      </c>
      <c r="CT121" s="57" t="s">
        <v>908</v>
      </c>
    </row>
    <row r="122" spans="7:98" ht="15.75" thickBot="1" x14ac:dyDescent="0.3">
      <c r="Q122" s="147" t="s">
        <v>41</v>
      </c>
      <c r="R122" s="148"/>
      <c r="S122" s="62">
        <f>BD147</f>
        <v>4.21875</v>
      </c>
      <c r="T122" s="61"/>
      <c r="U122" s="129">
        <v>12</v>
      </c>
      <c r="V122" s="130">
        <v>25</v>
      </c>
      <c r="W122" s="130"/>
      <c r="X122" s="130">
        <v>200</v>
      </c>
      <c r="Y122" s="130">
        <v>55</v>
      </c>
      <c r="Z122" s="130"/>
      <c r="AA122" s="63"/>
      <c r="AB122" s="130"/>
      <c r="AC122" s="129">
        <v>9</v>
      </c>
      <c r="AD122" s="64">
        <v>0.45</v>
      </c>
      <c r="AE122" s="130">
        <v>20</v>
      </c>
      <c r="AF122" s="65">
        <v>0.75</v>
      </c>
      <c r="AG122" s="130">
        <v>9</v>
      </c>
      <c r="AH122" s="64">
        <v>0.8</v>
      </c>
      <c r="AI122" s="130">
        <v>20</v>
      </c>
      <c r="AJ122" s="99">
        <v>0.8</v>
      </c>
      <c r="AL122" s="68">
        <v>33</v>
      </c>
      <c r="AM122" s="69">
        <v>1</v>
      </c>
      <c r="AN122" s="61">
        <v>18</v>
      </c>
      <c r="AO122" s="71">
        <v>0.6</v>
      </c>
      <c r="AP122" s="130" t="s">
        <v>44</v>
      </c>
      <c r="AQ122" s="69">
        <v>0</v>
      </c>
      <c r="AR122" s="61">
        <v>33</v>
      </c>
      <c r="AS122" s="69">
        <v>1</v>
      </c>
      <c r="AT122" s="61">
        <v>18</v>
      </c>
      <c r="AU122" s="71">
        <v>0.8</v>
      </c>
      <c r="AV122" s="130" t="s">
        <v>44</v>
      </c>
      <c r="AW122" s="72">
        <v>0.5</v>
      </c>
      <c r="AY122" s="83" t="s">
        <v>716</v>
      </c>
      <c r="AZ122" s="84">
        <v>0.9</v>
      </c>
      <c r="BA122" s="74"/>
      <c r="BB122" s="129"/>
      <c r="BC122" s="64"/>
      <c r="BD122" s="130" t="s">
        <v>21</v>
      </c>
      <c r="BE122" s="64">
        <v>-0.4</v>
      </c>
      <c r="BF122" s="130"/>
      <c r="BG122" s="64"/>
      <c r="BH122" s="130" t="s">
        <v>21</v>
      </c>
      <c r="BI122" s="64">
        <v>0.3</v>
      </c>
      <c r="BJ122" s="130"/>
      <c r="BK122" s="63"/>
      <c r="BM122" s="76">
        <v>2.5</v>
      </c>
      <c r="BN122" s="75">
        <v>0.45</v>
      </c>
      <c r="BO122" s="77">
        <v>4.0000000000000001E-3</v>
      </c>
      <c r="BP122" s="75">
        <v>-1</v>
      </c>
      <c r="BQ122" s="109">
        <v>2.5</v>
      </c>
      <c r="BR122" s="75">
        <v>0.72499999999999998</v>
      </c>
      <c r="BS122" s="77">
        <v>4.0000000000000001E-3</v>
      </c>
      <c r="BT122" s="75">
        <v>0</v>
      </c>
      <c r="BU122" s="77">
        <v>4.0000000000000001E-3</v>
      </c>
      <c r="BV122" s="78">
        <v>-0.3</v>
      </c>
      <c r="BX122" s="133">
        <v>25</v>
      </c>
      <c r="BY122" s="133">
        <v>155</v>
      </c>
      <c r="BZ122" s="133">
        <v>175</v>
      </c>
      <c r="CA122" s="133">
        <v>50</v>
      </c>
      <c r="CB122" s="133" t="s">
        <v>181</v>
      </c>
      <c r="CC122" s="57" t="s">
        <v>59</v>
      </c>
      <c r="CD122" s="57">
        <v>21</v>
      </c>
      <c r="CS122" s="57">
        <v>4.2000000000000003E-2</v>
      </c>
      <c r="CT122" s="57" t="s">
        <v>909</v>
      </c>
    </row>
    <row r="123" spans="7:98" x14ac:dyDescent="0.25">
      <c r="Q123" s="147" t="s">
        <v>733</v>
      </c>
      <c r="R123" s="148"/>
      <c r="S123" s="62">
        <f>BO205</f>
        <v>3.5542968749999999</v>
      </c>
      <c r="T123" s="61"/>
      <c r="U123" s="129">
        <v>12.5</v>
      </c>
      <c r="V123" s="130">
        <v>30</v>
      </c>
      <c r="W123" s="130"/>
      <c r="X123" s="130">
        <v>225</v>
      </c>
      <c r="Y123" s="130">
        <v>60</v>
      </c>
      <c r="Z123" s="130"/>
      <c r="AA123" s="63"/>
      <c r="AB123" s="130"/>
      <c r="AC123" s="129">
        <v>12</v>
      </c>
      <c r="AD123" s="64">
        <v>0.3</v>
      </c>
      <c r="AE123" s="130">
        <v>25</v>
      </c>
      <c r="AF123" s="65">
        <v>0.6</v>
      </c>
      <c r="AG123" s="130">
        <v>12</v>
      </c>
      <c r="AH123" s="64">
        <v>0.7</v>
      </c>
      <c r="AI123" s="130">
        <v>25</v>
      </c>
      <c r="AJ123" s="99">
        <v>0.7</v>
      </c>
      <c r="AL123" s="68">
        <v>34</v>
      </c>
      <c r="AM123" s="69">
        <v>1</v>
      </c>
      <c r="AN123" s="61">
        <v>19</v>
      </c>
      <c r="AO123" s="71">
        <v>0.5</v>
      </c>
      <c r="AP123" s="130" t="s">
        <v>49</v>
      </c>
      <c r="AQ123" s="69">
        <v>0.3</v>
      </c>
      <c r="AR123" s="61">
        <v>34</v>
      </c>
      <c r="AS123" s="69">
        <v>1</v>
      </c>
      <c r="AT123" s="61">
        <v>19</v>
      </c>
      <c r="AU123" s="71">
        <v>0.75</v>
      </c>
      <c r="AV123" s="130" t="s">
        <v>49</v>
      </c>
      <c r="AW123" s="72">
        <v>0.6</v>
      </c>
      <c r="AY123" s="69"/>
      <c r="BB123" s="129"/>
      <c r="BC123" s="64"/>
      <c r="BD123" s="130" t="s">
        <v>22</v>
      </c>
      <c r="BE123" s="64">
        <v>-0.8</v>
      </c>
      <c r="BF123" s="130"/>
      <c r="BG123" s="64"/>
      <c r="BH123" s="130" t="s">
        <v>22</v>
      </c>
      <c r="BI123" s="64">
        <v>0.1</v>
      </c>
      <c r="BJ123" s="130"/>
      <c r="BK123" s="63"/>
      <c r="BM123" s="76">
        <v>2.5099999999999998</v>
      </c>
      <c r="BN123" s="75">
        <v>0.3</v>
      </c>
      <c r="BO123" s="77">
        <v>5.0000000000000001E-3</v>
      </c>
      <c r="BP123" s="75">
        <v>-1</v>
      </c>
      <c r="BQ123" s="109">
        <v>2.5099999999999998</v>
      </c>
      <c r="BR123" s="75">
        <v>0.65</v>
      </c>
      <c r="BS123" s="77">
        <v>5.0000000000000001E-3</v>
      </c>
      <c r="BT123" s="75">
        <v>0</v>
      </c>
      <c r="BU123" s="77">
        <v>5.0000000000000001E-3</v>
      </c>
      <c r="BV123" s="78">
        <v>-0.25</v>
      </c>
      <c r="BX123" s="133">
        <v>10</v>
      </c>
      <c r="BY123" s="133">
        <v>5</v>
      </c>
      <c r="BZ123" s="133">
        <v>200</v>
      </c>
      <c r="CA123" s="133">
        <v>55</v>
      </c>
      <c r="CB123" s="133" t="s">
        <v>182</v>
      </c>
      <c r="CC123" s="57" t="s">
        <v>63</v>
      </c>
      <c r="CD123" s="57">
        <v>-10</v>
      </c>
      <c r="CS123" s="57">
        <v>4.2999999999999997E-2</v>
      </c>
      <c r="CT123" s="57" t="s">
        <v>910</v>
      </c>
    </row>
    <row r="124" spans="7:98" x14ac:dyDescent="0.25">
      <c r="Q124" s="147" t="s">
        <v>741</v>
      </c>
      <c r="R124" s="148"/>
      <c r="S124" s="62">
        <f>((S119*0.1)+(S120*0.1)+(S121*0.1)+(S122*0.25)+(S123*0.45))</f>
        <v>3.8322070312500003</v>
      </c>
      <c r="T124" s="61"/>
      <c r="U124" s="129">
        <v>13</v>
      </c>
      <c r="V124" s="130">
        <v>35</v>
      </c>
      <c r="W124" s="130"/>
      <c r="X124" s="130">
        <v>250</v>
      </c>
      <c r="Y124" s="130">
        <v>65</v>
      </c>
      <c r="Z124" s="130"/>
      <c r="AA124" s="63"/>
      <c r="AB124" s="130"/>
      <c r="AC124" s="129">
        <v>15</v>
      </c>
      <c r="AD124" s="64">
        <v>0.15</v>
      </c>
      <c r="AE124" s="130">
        <v>30</v>
      </c>
      <c r="AF124" s="65">
        <v>0.45</v>
      </c>
      <c r="AG124" s="130">
        <v>15</v>
      </c>
      <c r="AH124" s="64">
        <v>0.6</v>
      </c>
      <c r="AI124" s="130">
        <v>30</v>
      </c>
      <c r="AJ124" s="99">
        <v>0.6</v>
      </c>
      <c r="AL124" s="68">
        <v>35</v>
      </c>
      <c r="AM124" s="69">
        <v>1</v>
      </c>
      <c r="AN124" s="61">
        <v>20</v>
      </c>
      <c r="AO124" s="71">
        <v>0.4</v>
      </c>
      <c r="AP124" s="130" t="s">
        <v>45</v>
      </c>
      <c r="AQ124" s="69">
        <v>0.6</v>
      </c>
      <c r="AR124" s="61">
        <v>35</v>
      </c>
      <c r="AS124" s="69">
        <v>1</v>
      </c>
      <c r="AT124" s="61">
        <v>20</v>
      </c>
      <c r="AU124" s="71">
        <v>0.7</v>
      </c>
      <c r="AV124" s="130" t="s">
        <v>45</v>
      </c>
      <c r="AW124" s="72">
        <v>0.8</v>
      </c>
      <c r="AY124" s="69"/>
      <c r="BB124" s="68"/>
      <c r="BC124" s="61"/>
      <c r="BD124" s="61"/>
      <c r="BE124" s="61"/>
      <c r="BF124" s="61"/>
      <c r="BG124" s="61"/>
      <c r="BH124" s="61"/>
      <c r="BI124" s="61"/>
      <c r="BJ124" s="61"/>
      <c r="BK124" s="80"/>
      <c r="BM124" s="76">
        <v>2.52</v>
      </c>
      <c r="BN124" s="75">
        <v>0.15</v>
      </c>
      <c r="BO124" s="77">
        <v>6.0000000000000001E-3</v>
      </c>
      <c r="BP124" s="75">
        <v>-1</v>
      </c>
      <c r="BQ124" s="109">
        <v>2.52</v>
      </c>
      <c r="BR124" s="75">
        <v>0.57499999999999996</v>
      </c>
      <c r="BS124" s="77">
        <v>6.0000000000000001E-3</v>
      </c>
      <c r="BT124" s="75">
        <v>0</v>
      </c>
      <c r="BU124" s="77">
        <v>6.0000000000000001E-3</v>
      </c>
      <c r="BV124" s="78">
        <v>-0.2</v>
      </c>
      <c r="BX124" s="133">
        <v>10.5</v>
      </c>
      <c r="BY124" s="133">
        <v>10</v>
      </c>
      <c r="BZ124" s="133">
        <v>200</v>
      </c>
      <c r="CA124" s="133">
        <v>55</v>
      </c>
      <c r="CB124" s="133" t="s">
        <v>183</v>
      </c>
      <c r="CC124" s="57" t="s">
        <v>62</v>
      </c>
      <c r="CD124" s="57">
        <v>-9</v>
      </c>
      <c r="CS124" s="57">
        <v>4.3999999999999997E-2</v>
      </c>
      <c r="CT124" s="57" t="s">
        <v>911</v>
      </c>
    </row>
    <row r="125" spans="7:98" x14ac:dyDescent="0.25">
      <c r="G125" s="53"/>
      <c r="Q125" s="147" t="s">
        <v>742</v>
      </c>
      <c r="R125" s="148"/>
      <c r="S125" s="62">
        <f>IF(S38+S124&gt;6.75,S124,6.75-S38)</f>
        <v>3.8322070312500003</v>
      </c>
      <c r="T125" s="61"/>
      <c r="U125" s="129">
        <v>13.5</v>
      </c>
      <c r="V125" s="130">
        <v>40</v>
      </c>
      <c r="W125" s="130"/>
      <c r="X125" s="130">
        <v>275</v>
      </c>
      <c r="Y125" s="130">
        <v>70</v>
      </c>
      <c r="Z125" s="130"/>
      <c r="AA125" s="63"/>
      <c r="AB125" s="130"/>
      <c r="AC125" s="129">
        <v>18</v>
      </c>
      <c r="AD125" s="64">
        <v>0</v>
      </c>
      <c r="AE125" s="130">
        <v>35</v>
      </c>
      <c r="AF125" s="65">
        <v>0.3</v>
      </c>
      <c r="AG125" s="130">
        <v>18</v>
      </c>
      <c r="AH125" s="64">
        <v>0.5</v>
      </c>
      <c r="AI125" s="130">
        <v>35</v>
      </c>
      <c r="AJ125" s="99">
        <v>0.5</v>
      </c>
      <c r="AL125" s="68">
        <v>36</v>
      </c>
      <c r="AM125" s="70">
        <v>0.8</v>
      </c>
      <c r="AN125" s="61">
        <v>21</v>
      </c>
      <c r="AO125" s="71">
        <v>0.3</v>
      </c>
      <c r="AP125" s="130" t="s">
        <v>50</v>
      </c>
      <c r="AQ125" s="69">
        <v>0.9</v>
      </c>
      <c r="AR125" s="61">
        <v>36</v>
      </c>
      <c r="AS125" s="70">
        <v>0.9</v>
      </c>
      <c r="AT125" s="61">
        <v>21</v>
      </c>
      <c r="AU125" s="71">
        <v>0.65</v>
      </c>
      <c r="AV125" s="130" t="s">
        <v>50</v>
      </c>
      <c r="AW125" s="72">
        <v>0.95</v>
      </c>
      <c r="AY125" s="69"/>
      <c r="BB125" s="68"/>
      <c r="BC125" s="61"/>
      <c r="BD125" s="61"/>
      <c r="BE125" s="61"/>
      <c r="BF125" s="61"/>
      <c r="BG125" s="61"/>
      <c r="BH125" s="61"/>
      <c r="BI125" s="61"/>
      <c r="BJ125" s="61"/>
      <c r="BK125" s="80"/>
      <c r="BM125" s="76">
        <v>2.5299999999999998</v>
      </c>
      <c r="BN125" s="75">
        <v>0</v>
      </c>
      <c r="BO125" s="77">
        <v>7.0000000000000001E-3</v>
      </c>
      <c r="BP125" s="75">
        <v>-1</v>
      </c>
      <c r="BQ125" s="109">
        <v>2.5299999999999998</v>
      </c>
      <c r="BR125" s="75">
        <v>0.5</v>
      </c>
      <c r="BS125" s="77">
        <v>7.0000000000000001E-3</v>
      </c>
      <c r="BT125" s="75">
        <v>0</v>
      </c>
      <c r="BU125" s="77">
        <v>7.0000000000000001E-3</v>
      </c>
      <c r="BV125" s="78">
        <v>-0.15</v>
      </c>
      <c r="BX125" s="133">
        <v>11</v>
      </c>
      <c r="BY125" s="133">
        <v>15</v>
      </c>
      <c r="BZ125" s="133">
        <v>200</v>
      </c>
      <c r="CA125" s="133">
        <v>55</v>
      </c>
      <c r="CB125" s="133" t="s">
        <v>184</v>
      </c>
      <c r="CC125" s="57" t="s">
        <v>62</v>
      </c>
      <c r="CD125" s="57">
        <v>-8</v>
      </c>
      <c r="CS125" s="57">
        <v>4.4999999999999998E-2</v>
      </c>
      <c r="CT125" s="57" t="s">
        <v>912</v>
      </c>
    </row>
    <row r="126" spans="7:98" x14ac:dyDescent="0.25">
      <c r="Q126" s="147" t="s">
        <v>736</v>
      </c>
      <c r="R126" s="148"/>
      <c r="S126" s="62">
        <f>S124-MOD(S124,1)</f>
        <v>3</v>
      </c>
      <c r="T126" s="61"/>
      <c r="U126" s="129">
        <v>14</v>
      </c>
      <c r="V126" s="130">
        <v>45</v>
      </c>
      <c r="W126" s="130"/>
      <c r="X126" s="130">
        <v>300</v>
      </c>
      <c r="Y126" s="130">
        <v>75</v>
      </c>
      <c r="Z126" s="130"/>
      <c r="AA126" s="63"/>
      <c r="AB126" s="130"/>
      <c r="AC126" s="129">
        <v>21</v>
      </c>
      <c r="AD126" s="64">
        <v>-0.15</v>
      </c>
      <c r="AE126" s="130">
        <v>40</v>
      </c>
      <c r="AF126" s="65">
        <v>0.15</v>
      </c>
      <c r="AG126" s="130">
        <v>21</v>
      </c>
      <c r="AH126" s="64">
        <v>0.4</v>
      </c>
      <c r="AI126" s="130">
        <v>40</v>
      </c>
      <c r="AJ126" s="99">
        <v>0.4</v>
      </c>
      <c r="AL126" s="68">
        <v>37</v>
      </c>
      <c r="AM126" s="69">
        <v>0.6</v>
      </c>
      <c r="AN126" s="61">
        <v>22</v>
      </c>
      <c r="AO126" s="71">
        <v>0.2</v>
      </c>
      <c r="AP126" s="61"/>
      <c r="AQ126" s="71"/>
      <c r="AR126" s="61">
        <v>37</v>
      </c>
      <c r="AS126" s="69">
        <v>0.8</v>
      </c>
      <c r="AT126" s="61">
        <v>22</v>
      </c>
      <c r="AU126" s="71">
        <v>0.6</v>
      </c>
      <c r="AV126" s="61"/>
      <c r="AW126" s="110"/>
      <c r="AY126" s="69"/>
      <c r="BB126" s="147" t="s">
        <v>727</v>
      </c>
      <c r="BC126" s="148"/>
      <c r="BD126" s="148"/>
      <c r="BK126" s="80"/>
      <c r="BM126" s="76">
        <v>2.54</v>
      </c>
      <c r="BN126" s="75">
        <v>-0.15</v>
      </c>
      <c r="BO126" s="77">
        <v>8.0000000000000002E-3</v>
      </c>
      <c r="BP126" s="75">
        <v>-1</v>
      </c>
      <c r="BQ126" s="109">
        <v>2.54</v>
      </c>
      <c r="BR126" s="75">
        <v>0.42499999999999999</v>
      </c>
      <c r="BS126" s="77">
        <v>8.0000000000000002E-3</v>
      </c>
      <c r="BT126" s="75">
        <v>0</v>
      </c>
      <c r="BU126" s="77">
        <v>8.0000000000000002E-3</v>
      </c>
      <c r="BV126" s="78">
        <v>-0.1</v>
      </c>
      <c r="BX126" s="133">
        <v>11.5</v>
      </c>
      <c r="BY126" s="133">
        <v>20</v>
      </c>
      <c r="BZ126" s="133">
        <v>200</v>
      </c>
      <c r="CA126" s="133">
        <v>55</v>
      </c>
      <c r="CB126" s="133" t="s">
        <v>185</v>
      </c>
      <c r="CC126" s="57" t="s">
        <v>62</v>
      </c>
      <c r="CD126" s="57">
        <v>-7</v>
      </c>
      <c r="CS126" s="57">
        <v>4.5999999999999999E-2</v>
      </c>
      <c r="CT126" s="57" t="s">
        <v>913</v>
      </c>
    </row>
    <row r="127" spans="7:98" x14ac:dyDescent="0.25">
      <c r="Q127" s="147" t="s">
        <v>748</v>
      </c>
      <c r="R127" s="148"/>
      <c r="S127" s="62">
        <f>VLOOKUP(Q145,Q136:R144,2,FALSE)</f>
        <v>0.875</v>
      </c>
      <c r="T127" s="61"/>
      <c r="U127" s="129">
        <v>14.5</v>
      </c>
      <c r="V127" s="130">
        <v>50</v>
      </c>
      <c r="W127" s="130"/>
      <c r="X127" s="130">
        <v>325</v>
      </c>
      <c r="Y127" s="130">
        <v>80</v>
      </c>
      <c r="Z127" s="130"/>
      <c r="AA127" s="63"/>
      <c r="AB127" s="130"/>
      <c r="AC127" s="129">
        <v>24</v>
      </c>
      <c r="AD127" s="64">
        <v>-0.3</v>
      </c>
      <c r="AE127" s="130">
        <v>45</v>
      </c>
      <c r="AF127" s="65">
        <v>0</v>
      </c>
      <c r="AG127" s="130">
        <v>24</v>
      </c>
      <c r="AH127" s="64">
        <v>0.3</v>
      </c>
      <c r="AI127" s="130">
        <v>45</v>
      </c>
      <c r="AJ127" s="99">
        <v>0.3</v>
      </c>
      <c r="AL127" s="68">
        <v>38</v>
      </c>
      <c r="AM127" s="70">
        <v>0.4</v>
      </c>
      <c r="AN127" s="61">
        <v>23</v>
      </c>
      <c r="AO127" s="71">
        <v>0.1</v>
      </c>
      <c r="AP127" s="61"/>
      <c r="AQ127" s="71"/>
      <c r="AR127" s="61">
        <v>38</v>
      </c>
      <c r="AS127" s="70">
        <v>0.7</v>
      </c>
      <c r="AT127" s="61">
        <v>23</v>
      </c>
      <c r="AU127" s="71">
        <v>0.55000000000000004</v>
      </c>
      <c r="AV127" s="61"/>
      <c r="AW127" s="110"/>
      <c r="AY127" s="69"/>
      <c r="BB127" s="147" t="s">
        <v>780</v>
      </c>
      <c r="BC127" s="148"/>
      <c r="BD127" s="64">
        <f>VLOOKUP(G15,BB119:BC121,2,FALSE)</f>
        <v>0</v>
      </c>
      <c r="BK127" s="78"/>
      <c r="BM127" s="76">
        <v>2.5499999999999998</v>
      </c>
      <c r="BN127" s="75">
        <v>-0.3</v>
      </c>
      <c r="BO127" s="77">
        <v>8.9999999999999993E-3</v>
      </c>
      <c r="BP127" s="75">
        <v>-1</v>
      </c>
      <c r="BQ127" s="109">
        <v>2.5499999999999998</v>
      </c>
      <c r="BR127" s="75">
        <v>0.35</v>
      </c>
      <c r="BS127" s="77">
        <v>8.9999999999999993E-3</v>
      </c>
      <c r="BT127" s="75">
        <v>0</v>
      </c>
      <c r="BU127" s="77">
        <v>8.9999999999999993E-3</v>
      </c>
      <c r="BV127" s="78">
        <v>-0.05</v>
      </c>
      <c r="BX127" s="133">
        <v>12</v>
      </c>
      <c r="BY127" s="133">
        <v>25</v>
      </c>
      <c r="BZ127" s="133">
        <v>200</v>
      </c>
      <c r="CA127" s="133">
        <v>55</v>
      </c>
      <c r="CB127" s="133" t="s">
        <v>186</v>
      </c>
      <c r="CC127" s="57" t="s">
        <v>61</v>
      </c>
      <c r="CD127" s="57">
        <v>-6</v>
      </c>
      <c r="CS127" s="57">
        <v>4.7E-2</v>
      </c>
      <c r="CT127" s="57" t="s">
        <v>914</v>
      </c>
    </row>
    <row r="128" spans="7:98" x14ac:dyDescent="0.25">
      <c r="Q128" s="147" t="s">
        <v>744</v>
      </c>
      <c r="R128" s="148"/>
      <c r="S128" s="87">
        <f>(S126+S127)</f>
        <v>3.875</v>
      </c>
      <c r="T128" s="61"/>
      <c r="U128" s="129">
        <v>15</v>
      </c>
      <c r="V128" s="130">
        <v>55</v>
      </c>
      <c r="W128" s="130"/>
      <c r="X128" s="130">
        <v>350</v>
      </c>
      <c r="Y128" s="130">
        <v>85</v>
      </c>
      <c r="Z128" s="130"/>
      <c r="AA128" s="63"/>
      <c r="AB128" s="130"/>
      <c r="AC128" s="129">
        <v>27</v>
      </c>
      <c r="AD128" s="64">
        <v>-0.45</v>
      </c>
      <c r="AE128" s="130">
        <v>50</v>
      </c>
      <c r="AF128" s="65">
        <v>-0.15</v>
      </c>
      <c r="AG128" s="130">
        <v>27</v>
      </c>
      <c r="AH128" s="64">
        <v>0.2</v>
      </c>
      <c r="AI128" s="130">
        <v>50</v>
      </c>
      <c r="AJ128" s="99">
        <v>0.2</v>
      </c>
      <c r="AL128" s="68">
        <v>39</v>
      </c>
      <c r="AM128" s="69">
        <v>0.2</v>
      </c>
      <c r="AN128" s="61">
        <v>24</v>
      </c>
      <c r="AO128" s="71">
        <v>0</v>
      </c>
      <c r="AP128" s="61"/>
      <c r="AQ128" s="71"/>
      <c r="AR128" s="61">
        <v>39</v>
      </c>
      <c r="AS128" s="69">
        <v>0.6</v>
      </c>
      <c r="AT128" s="61">
        <v>24</v>
      </c>
      <c r="AU128" s="71">
        <v>0.5</v>
      </c>
      <c r="AV128" s="61"/>
      <c r="AW128" s="110"/>
      <c r="AY128" s="69"/>
      <c r="BB128" s="147" t="s">
        <v>781</v>
      </c>
      <c r="BC128" s="148"/>
      <c r="BD128" s="64">
        <f>VLOOKUP(G16,BD119:BE123,2,FALSE)</f>
        <v>0</v>
      </c>
      <c r="BF128" s="148" t="s">
        <v>776</v>
      </c>
      <c r="BG128" s="148"/>
      <c r="BH128" s="130" t="s">
        <v>775</v>
      </c>
      <c r="BK128" s="78"/>
      <c r="BM128" s="76">
        <v>2.56</v>
      </c>
      <c r="BN128" s="75">
        <v>-0.45</v>
      </c>
      <c r="BO128" s="77">
        <v>0.01</v>
      </c>
      <c r="BP128" s="75">
        <v>-1</v>
      </c>
      <c r="BQ128" s="109">
        <v>2.56</v>
      </c>
      <c r="BR128" s="75">
        <v>0.27500000000000002</v>
      </c>
      <c r="BS128" s="77">
        <v>0.01</v>
      </c>
      <c r="BT128" s="75">
        <v>0</v>
      </c>
      <c r="BU128" s="77">
        <v>0.01</v>
      </c>
      <c r="BV128" s="78">
        <v>0</v>
      </c>
      <c r="BX128" s="133">
        <v>12.5</v>
      </c>
      <c r="BY128" s="133">
        <v>30</v>
      </c>
      <c r="BZ128" s="133">
        <v>200</v>
      </c>
      <c r="CA128" s="133">
        <v>55</v>
      </c>
      <c r="CB128" s="133" t="s">
        <v>187</v>
      </c>
      <c r="CC128" s="57" t="s">
        <v>61</v>
      </c>
      <c r="CD128" s="57">
        <v>-5</v>
      </c>
      <c r="CS128" s="57">
        <v>4.8000000000000001E-2</v>
      </c>
      <c r="CT128" s="57" t="s">
        <v>915</v>
      </c>
    </row>
    <row r="129" spans="17:125" x14ac:dyDescent="0.25">
      <c r="Q129" s="147" t="s">
        <v>785</v>
      </c>
      <c r="R129" s="148"/>
      <c r="S129" s="87">
        <f>(6.75-S38)</f>
        <v>1.75</v>
      </c>
      <c r="T129" s="61"/>
      <c r="U129" s="129">
        <v>15.5</v>
      </c>
      <c r="V129" s="130">
        <v>60</v>
      </c>
      <c r="W129" s="130"/>
      <c r="X129" s="130">
        <v>375</v>
      </c>
      <c r="Y129" s="130">
        <v>90</v>
      </c>
      <c r="Z129" s="130"/>
      <c r="AA129" s="63"/>
      <c r="AB129" s="130"/>
      <c r="AC129" s="129">
        <v>30</v>
      </c>
      <c r="AD129" s="64">
        <v>-0.6</v>
      </c>
      <c r="AE129" s="130">
        <v>55</v>
      </c>
      <c r="AF129" s="65">
        <v>-0.3</v>
      </c>
      <c r="AG129" s="130">
        <v>30</v>
      </c>
      <c r="AH129" s="64">
        <v>0.1</v>
      </c>
      <c r="AI129" s="130">
        <v>55</v>
      </c>
      <c r="AJ129" s="99">
        <v>0.1</v>
      </c>
      <c r="AL129" s="68">
        <v>40</v>
      </c>
      <c r="AM129" s="70">
        <v>0</v>
      </c>
      <c r="AN129" s="61">
        <v>25</v>
      </c>
      <c r="AO129" s="71">
        <v>-0.1</v>
      </c>
      <c r="AP129" s="61"/>
      <c r="AQ129" s="71"/>
      <c r="AR129" s="61">
        <v>40</v>
      </c>
      <c r="AS129" s="70">
        <v>0.5</v>
      </c>
      <c r="AT129" s="61">
        <v>25</v>
      </c>
      <c r="AU129" s="71">
        <v>0.42499999999999999</v>
      </c>
      <c r="AV129" s="61"/>
      <c r="AW129" s="110"/>
      <c r="AY129" s="69"/>
      <c r="BB129" s="147" t="s">
        <v>728</v>
      </c>
      <c r="BC129" s="148"/>
      <c r="BD129" s="64">
        <f>((BD127*0.5)+(BD128*0.5))</f>
        <v>0</v>
      </c>
      <c r="BF129" s="130" t="s">
        <v>784</v>
      </c>
      <c r="BG129" s="65">
        <v>0.8</v>
      </c>
      <c r="BH129" s="64">
        <v>0.9</v>
      </c>
      <c r="BK129" s="78"/>
      <c r="BM129" s="76">
        <v>2.57</v>
      </c>
      <c r="BN129" s="75">
        <v>-0.6</v>
      </c>
      <c r="BO129" s="77">
        <v>1.0999999999999999E-2</v>
      </c>
      <c r="BP129" s="75">
        <v>-1</v>
      </c>
      <c r="BQ129" s="109">
        <v>2.57</v>
      </c>
      <c r="BR129" s="75">
        <v>0.2</v>
      </c>
      <c r="BS129" s="77">
        <v>1.0999999999999999E-2</v>
      </c>
      <c r="BT129" s="75">
        <v>0</v>
      </c>
      <c r="BU129" s="77">
        <v>1.0999999999999999E-2</v>
      </c>
      <c r="BV129" s="78">
        <v>0.05</v>
      </c>
      <c r="BX129" s="133">
        <v>13</v>
      </c>
      <c r="BY129" s="133">
        <v>35</v>
      </c>
      <c r="BZ129" s="133">
        <v>200</v>
      </c>
      <c r="CA129" s="133">
        <v>55</v>
      </c>
      <c r="CB129" s="133" t="s">
        <v>188</v>
      </c>
      <c r="CC129" s="57" t="s">
        <v>61</v>
      </c>
      <c r="CD129" s="57">
        <v>-4</v>
      </c>
      <c r="CS129" s="57">
        <v>4.9000000000000002E-2</v>
      </c>
      <c r="CT129" s="57" t="s">
        <v>916</v>
      </c>
    </row>
    <row r="130" spans="17:125" x14ac:dyDescent="0.25">
      <c r="Q130" s="147" t="s">
        <v>736</v>
      </c>
      <c r="R130" s="148"/>
      <c r="S130" s="62">
        <f>S125-MOD(S125,1)</f>
        <v>3</v>
      </c>
      <c r="T130" s="61"/>
      <c r="U130" s="129">
        <v>16</v>
      </c>
      <c r="V130" s="130">
        <v>65</v>
      </c>
      <c r="W130" s="130"/>
      <c r="X130" s="130">
        <v>400</v>
      </c>
      <c r="Y130" s="130">
        <v>95</v>
      </c>
      <c r="Z130" s="130"/>
      <c r="AA130" s="63"/>
      <c r="AB130" s="130"/>
      <c r="AC130" s="129">
        <v>33</v>
      </c>
      <c r="AD130" s="64">
        <v>-0.75</v>
      </c>
      <c r="AE130" s="130">
        <v>60</v>
      </c>
      <c r="AF130" s="65">
        <v>-0.45</v>
      </c>
      <c r="AG130" s="130">
        <v>33</v>
      </c>
      <c r="AH130" s="64">
        <v>0</v>
      </c>
      <c r="AI130" s="130">
        <v>60</v>
      </c>
      <c r="AJ130" s="99">
        <v>0</v>
      </c>
      <c r="AL130" s="68">
        <v>41</v>
      </c>
      <c r="AM130" s="69">
        <v>-0.2</v>
      </c>
      <c r="AN130" s="61">
        <v>26</v>
      </c>
      <c r="AO130" s="71">
        <v>-0.2</v>
      </c>
      <c r="AP130" s="61"/>
      <c r="AQ130" s="71"/>
      <c r="AR130" s="61">
        <v>41</v>
      </c>
      <c r="AS130" s="69">
        <v>0.4</v>
      </c>
      <c r="AT130" s="61">
        <v>26</v>
      </c>
      <c r="AU130" s="71">
        <v>0.35</v>
      </c>
      <c r="AV130" s="61"/>
      <c r="AW130" s="110"/>
      <c r="AY130" s="69"/>
      <c r="BB130" s="147" t="s">
        <v>754</v>
      </c>
      <c r="BC130" s="148"/>
      <c r="BD130" s="65">
        <f>(BC119)</f>
        <v>-0.5</v>
      </c>
      <c r="BF130" s="130"/>
      <c r="BG130" s="65">
        <v>0.7</v>
      </c>
      <c r="BH130" s="64">
        <v>0.85</v>
      </c>
      <c r="BK130" s="78"/>
      <c r="BM130" s="76">
        <v>2.58</v>
      </c>
      <c r="BN130" s="75">
        <v>-0.75</v>
      </c>
      <c r="BO130" s="77">
        <v>1.2E-2</v>
      </c>
      <c r="BP130" s="75">
        <v>-1</v>
      </c>
      <c r="BQ130" s="109">
        <v>2.58</v>
      </c>
      <c r="BR130" s="75">
        <v>0.125</v>
      </c>
      <c r="BS130" s="77">
        <v>1.2E-2</v>
      </c>
      <c r="BT130" s="75">
        <v>0</v>
      </c>
      <c r="BU130" s="77">
        <v>1.2E-2</v>
      </c>
      <c r="BV130" s="78">
        <v>0.1</v>
      </c>
      <c r="BX130" s="133">
        <v>13.5</v>
      </c>
      <c r="BY130" s="133">
        <v>40</v>
      </c>
      <c r="BZ130" s="133">
        <v>200</v>
      </c>
      <c r="CA130" s="133">
        <v>55</v>
      </c>
      <c r="CB130" s="133" t="s">
        <v>189</v>
      </c>
      <c r="CC130" s="57" t="s">
        <v>60</v>
      </c>
      <c r="CD130" s="57">
        <v>-3</v>
      </c>
      <c r="CS130" s="57">
        <v>0.05</v>
      </c>
      <c r="CT130" s="57" t="s">
        <v>917</v>
      </c>
    </row>
    <row r="131" spans="17:125" x14ac:dyDescent="0.25">
      <c r="Q131" s="147" t="s">
        <v>742</v>
      </c>
      <c r="R131" s="148"/>
      <c r="S131" s="63">
        <f>IF(S38+S128&gt;6.75,0,1)</f>
        <v>0</v>
      </c>
      <c r="T131" s="61"/>
      <c r="U131" s="129">
        <v>16.5</v>
      </c>
      <c r="V131" s="130">
        <v>70</v>
      </c>
      <c r="W131" s="130"/>
      <c r="X131" s="130">
        <v>425</v>
      </c>
      <c r="Y131" s="130">
        <v>100</v>
      </c>
      <c r="Z131" s="130"/>
      <c r="AA131" s="63"/>
      <c r="AB131" s="130"/>
      <c r="AC131" s="129">
        <v>36</v>
      </c>
      <c r="AD131" s="64">
        <v>-0.9</v>
      </c>
      <c r="AE131" s="130">
        <v>65</v>
      </c>
      <c r="AF131" s="65">
        <v>-0.6</v>
      </c>
      <c r="AG131" s="130">
        <v>36</v>
      </c>
      <c r="AH131" s="64">
        <v>0</v>
      </c>
      <c r="AI131" s="130">
        <v>65</v>
      </c>
      <c r="AJ131" s="99">
        <v>0</v>
      </c>
      <c r="AL131" s="68">
        <v>42</v>
      </c>
      <c r="AM131" s="70">
        <v>-0.4</v>
      </c>
      <c r="AN131" s="61">
        <v>27</v>
      </c>
      <c r="AO131" s="71">
        <v>-0.3</v>
      </c>
      <c r="AP131" s="61"/>
      <c r="AQ131" s="71"/>
      <c r="AR131" s="61">
        <v>42</v>
      </c>
      <c r="AS131" s="70">
        <v>0.3</v>
      </c>
      <c r="AT131" s="61">
        <v>27</v>
      </c>
      <c r="AU131" s="71">
        <v>0.27500000000000002</v>
      </c>
      <c r="AV131" s="61"/>
      <c r="AW131" s="110"/>
      <c r="AY131" s="69"/>
      <c r="BB131" s="147" t="s">
        <v>753</v>
      </c>
      <c r="BC131" s="148"/>
      <c r="BD131" s="130">
        <f>0+(3.375*ABS(BD130))</f>
        <v>1.6875</v>
      </c>
      <c r="BF131" s="130"/>
      <c r="BG131" s="65">
        <v>0.6</v>
      </c>
      <c r="BH131" s="64">
        <v>0.8</v>
      </c>
      <c r="BK131" s="78"/>
      <c r="BM131" s="76">
        <v>2.59</v>
      </c>
      <c r="BN131" s="75">
        <v>-0.9</v>
      </c>
      <c r="BO131" s="77">
        <v>1.2999999999999999E-2</v>
      </c>
      <c r="BP131" s="75">
        <v>-1</v>
      </c>
      <c r="BQ131" s="109">
        <v>2.59</v>
      </c>
      <c r="BR131" s="75">
        <v>0.05</v>
      </c>
      <c r="BS131" s="77">
        <v>1.2999999999999999E-2</v>
      </c>
      <c r="BT131" s="75">
        <v>0</v>
      </c>
      <c r="BU131" s="77">
        <v>1.2999999999999999E-2</v>
      </c>
      <c r="BV131" s="78">
        <v>0.15</v>
      </c>
      <c r="BX131" s="133">
        <v>14</v>
      </c>
      <c r="BY131" s="133">
        <v>45</v>
      </c>
      <c r="BZ131" s="133">
        <v>200</v>
      </c>
      <c r="CA131" s="133">
        <v>55</v>
      </c>
      <c r="CB131" s="133" t="s">
        <v>190</v>
      </c>
      <c r="CC131" s="57" t="s">
        <v>60</v>
      </c>
      <c r="CD131" s="57">
        <v>-2</v>
      </c>
      <c r="CS131" s="57">
        <v>5.0999999999999997E-2</v>
      </c>
      <c r="CT131" s="57" t="s">
        <v>918</v>
      </c>
    </row>
    <row r="132" spans="17:125" x14ac:dyDescent="0.25">
      <c r="Q132" s="147" t="s">
        <v>745</v>
      </c>
      <c r="R132" s="148"/>
      <c r="S132" s="87">
        <f>IF(S131=1,S129,S128)</f>
        <v>3.875</v>
      </c>
      <c r="U132" s="129">
        <v>17</v>
      </c>
      <c r="V132" s="130">
        <v>75</v>
      </c>
      <c r="W132" s="130"/>
      <c r="X132" s="130">
        <v>450</v>
      </c>
      <c r="Y132" s="130">
        <v>105</v>
      </c>
      <c r="Z132" s="130"/>
      <c r="AA132" s="63"/>
      <c r="AC132" s="129">
        <v>39</v>
      </c>
      <c r="AD132" s="64">
        <v>-1</v>
      </c>
      <c r="AE132" s="130">
        <v>70</v>
      </c>
      <c r="AF132" s="65">
        <v>-0.75</v>
      </c>
      <c r="AG132" s="130">
        <v>39</v>
      </c>
      <c r="AH132" s="64">
        <v>0</v>
      </c>
      <c r="AI132" s="130">
        <v>70</v>
      </c>
      <c r="AJ132" s="99">
        <v>0</v>
      </c>
      <c r="AL132" s="68">
        <v>43</v>
      </c>
      <c r="AM132" s="69">
        <v>-0.6</v>
      </c>
      <c r="AN132" s="61">
        <v>28</v>
      </c>
      <c r="AO132" s="71">
        <v>-0.4</v>
      </c>
      <c r="AP132" s="61"/>
      <c r="AQ132" s="71"/>
      <c r="AR132" s="61">
        <v>43</v>
      </c>
      <c r="AS132" s="69">
        <v>0.2</v>
      </c>
      <c r="AT132" s="61">
        <v>28</v>
      </c>
      <c r="AU132" s="71">
        <v>0.2</v>
      </c>
      <c r="AV132" s="61"/>
      <c r="AW132" s="110"/>
      <c r="AY132" s="69"/>
      <c r="BB132" s="147" t="s">
        <v>714</v>
      </c>
      <c r="BC132" s="148"/>
      <c r="BD132" s="130">
        <f>IF(BD129&gt;0%,0,3.375)</f>
        <v>3.375</v>
      </c>
      <c r="BF132" s="130"/>
      <c r="BG132" s="65">
        <v>0.5</v>
      </c>
      <c r="BH132" s="64">
        <v>0.75</v>
      </c>
      <c r="BK132" s="78"/>
      <c r="BM132" s="76">
        <v>2.6</v>
      </c>
      <c r="BN132" s="75">
        <v>-1</v>
      </c>
      <c r="BO132" s="77">
        <v>1.4E-2</v>
      </c>
      <c r="BP132" s="75">
        <v>-1</v>
      </c>
      <c r="BQ132" s="109">
        <v>2.6</v>
      </c>
      <c r="BR132" s="75">
        <v>0</v>
      </c>
      <c r="BS132" s="77">
        <v>1.4E-2</v>
      </c>
      <c r="BT132" s="75">
        <v>0</v>
      </c>
      <c r="BU132" s="77">
        <v>1.4E-2</v>
      </c>
      <c r="BV132" s="78">
        <v>0.2</v>
      </c>
      <c r="BX132" s="133">
        <v>14.5</v>
      </c>
      <c r="BY132" s="133">
        <v>50</v>
      </c>
      <c r="BZ132" s="133">
        <v>200</v>
      </c>
      <c r="CA132" s="133">
        <v>55</v>
      </c>
      <c r="CB132" s="133" t="s">
        <v>191</v>
      </c>
      <c r="CC132" s="57" t="s">
        <v>60</v>
      </c>
      <c r="CD132" s="57">
        <v>-1</v>
      </c>
      <c r="CS132" s="57">
        <v>5.1999999999999998E-2</v>
      </c>
      <c r="CT132" s="57" t="s">
        <v>919</v>
      </c>
    </row>
    <row r="133" spans="17:125" x14ac:dyDescent="0.25">
      <c r="Q133" s="147" t="s">
        <v>983</v>
      </c>
      <c r="R133" s="148"/>
      <c r="S133" s="87">
        <f>IF(E15="","#N/A",IF(G20="","#N/A",IF(G21="","#N/A",S132)))</f>
        <v>3.875</v>
      </c>
      <c r="U133" s="129">
        <v>17.5</v>
      </c>
      <c r="V133" s="130">
        <v>80</v>
      </c>
      <c r="W133" s="130"/>
      <c r="X133" s="130">
        <v>475</v>
      </c>
      <c r="Y133" s="130">
        <v>110</v>
      </c>
      <c r="Z133" s="130"/>
      <c r="AA133" s="63"/>
      <c r="AC133" s="129">
        <v>42</v>
      </c>
      <c r="AD133" s="64">
        <v>-1</v>
      </c>
      <c r="AE133" s="130">
        <v>75</v>
      </c>
      <c r="AF133" s="65">
        <v>-0.9</v>
      </c>
      <c r="AG133" s="130">
        <v>42</v>
      </c>
      <c r="AH133" s="64">
        <v>0</v>
      </c>
      <c r="AI133" s="130">
        <v>75</v>
      </c>
      <c r="AJ133" s="99">
        <v>0</v>
      </c>
      <c r="AL133" s="68">
        <v>44</v>
      </c>
      <c r="AM133" s="70">
        <v>-0.8</v>
      </c>
      <c r="AN133" s="61">
        <v>29</v>
      </c>
      <c r="AO133" s="71">
        <v>-0.5</v>
      </c>
      <c r="AP133" s="61"/>
      <c r="AQ133" s="71"/>
      <c r="AR133" s="61">
        <v>44</v>
      </c>
      <c r="AS133" s="70">
        <v>0.1</v>
      </c>
      <c r="AT133" s="61">
        <v>29</v>
      </c>
      <c r="AU133" s="71">
        <v>0.125</v>
      </c>
      <c r="AV133" s="61"/>
      <c r="AW133" s="110"/>
      <c r="AY133" s="69"/>
      <c r="BB133" s="147" t="s">
        <v>772</v>
      </c>
      <c r="BC133" s="148"/>
      <c r="BD133" s="130">
        <f>IF(BD129&lt;0%,((BD131-((BD132-BD131)*ABS(BD129)))),((BD131+((BD131-BD132)*ABS(BD129)))))</f>
        <v>1.6875</v>
      </c>
      <c r="BF133" s="130"/>
      <c r="BG133" s="65">
        <v>0.4</v>
      </c>
      <c r="BH133" s="64">
        <v>0.7</v>
      </c>
      <c r="BK133" s="78"/>
      <c r="BM133" s="76">
        <v>2.61</v>
      </c>
      <c r="BN133" s="75">
        <v>-1</v>
      </c>
      <c r="BO133" s="77">
        <v>1.4999999999999999E-2</v>
      </c>
      <c r="BP133" s="75">
        <v>-1</v>
      </c>
      <c r="BQ133" s="109">
        <v>2.61</v>
      </c>
      <c r="BR133" s="75">
        <v>0</v>
      </c>
      <c r="BS133" s="77">
        <v>1.4999999999999999E-2</v>
      </c>
      <c r="BT133" s="75">
        <v>0</v>
      </c>
      <c r="BU133" s="77">
        <v>1.4999999999999999E-2</v>
      </c>
      <c r="BV133" s="78">
        <v>0.25</v>
      </c>
      <c r="BX133" s="133">
        <v>15</v>
      </c>
      <c r="BY133" s="133">
        <v>55</v>
      </c>
      <c r="BZ133" s="133">
        <v>200</v>
      </c>
      <c r="CA133" s="133">
        <v>55</v>
      </c>
      <c r="CB133" s="133" t="s">
        <v>192</v>
      </c>
      <c r="CC133" s="57" t="s">
        <v>54</v>
      </c>
      <c r="CD133" s="57">
        <v>0</v>
      </c>
      <c r="CS133" s="57">
        <v>5.2999999999999999E-2</v>
      </c>
      <c r="CT133" s="57" t="s">
        <v>920</v>
      </c>
    </row>
    <row r="134" spans="17:125" ht="15.75" thickBot="1" x14ac:dyDescent="0.3">
      <c r="Q134" s="184" t="s">
        <v>988</v>
      </c>
      <c r="R134" s="149"/>
      <c r="S134" s="89">
        <f>IF(G20/2&lt;G21,"#N/A",S133)</f>
        <v>3.875</v>
      </c>
      <c r="U134" s="129">
        <v>18</v>
      </c>
      <c r="V134" s="130">
        <v>85</v>
      </c>
      <c r="W134" s="130"/>
      <c r="X134" s="130">
        <v>500</v>
      </c>
      <c r="Y134" s="130">
        <v>115</v>
      </c>
      <c r="Z134" s="130"/>
      <c r="AA134" s="63"/>
      <c r="AC134" s="129">
        <v>45</v>
      </c>
      <c r="AD134" s="64">
        <v>-1</v>
      </c>
      <c r="AE134" s="130">
        <v>80</v>
      </c>
      <c r="AF134" s="65">
        <v>-1</v>
      </c>
      <c r="AG134" s="130">
        <v>45</v>
      </c>
      <c r="AH134" s="64">
        <v>0</v>
      </c>
      <c r="AI134" s="130">
        <v>80</v>
      </c>
      <c r="AJ134" s="99">
        <v>0</v>
      </c>
      <c r="AL134" s="68">
        <v>45</v>
      </c>
      <c r="AM134" s="69">
        <v>-1</v>
      </c>
      <c r="AN134" s="61">
        <v>30</v>
      </c>
      <c r="AO134" s="71">
        <v>-0.6</v>
      </c>
      <c r="AP134" s="61"/>
      <c r="AQ134" s="71"/>
      <c r="AR134" s="61">
        <v>45</v>
      </c>
      <c r="AS134" s="69">
        <v>0</v>
      </c>
      <c r="AT134" s="61">
        <v>30</v>
      </c>
      <c r="AU134" s="71">
        <v>0.05</v>
      </c>
      <c r="AV134" s="61"/>
      <c r="AW134" s="110"/>
      <c r="BB134" s="147" t="s">
        <v>780</v>
      </c>
      <c r="BC134" s="148"/>
      <c r="BD134" s="64">
        <f>VLOOKUP(G15,BF119:BG121,2,FALSE)</f>
        <v>0.5</v>
      </c>
      <c r="BF134" s="130"/>
      <c r="BG134" s="65">
        <v>0.3</v>
      </c>
      <c r="BH134" s="64">
        <v>0.65</v>
      </c>
      <c r="BK134" s="78"/>
      <c r="BM134" s="76">
        <v>2.62</v>
      </c>
      <c r="BN134" s="75">
        <v>-1</v>
      </c>
      <c r="BO134" s="77">
        <v>1.6E-2</v>
      </c>
      <c r="BP134" s="75">
        <v>-1</v>
      </c>
      <c r="BQ134" s="109">
        <v>2.62</v>
      </c>
      <c r="BR134" s="75">
        <v>0</v>
      </c>
      <c r="BS134" s="77">
        <v>1.6E-2</v>
      </c>
      <c r="BT134" s="75">
        <v>0</v>
      </c>
      <c r="BU134" s="77">
        <v>1.6E-2</v>
      </c>
      <c r="BV134" s="78">
        <v>0.3</v>
      </c>
      <c r="BX134" s="133">
        <v>15.5</v>
      </c>
      <c r="BY134" s="133">
        <v>60</v>
      </c>
      <c r="BZ134" s="133">
        <v>200</v>
      </c>
      <c r="CA134" s="133">
        <v>55</v>
      </c>
      <c r="CB134" s="133" t="s">
        <v>193</v>
      </c>
      <c r="CC134" s="57" t="s">
        <v>55</v>
      </c>
      <c r="CD134" s="57">
        <v>1</v>
      </c>
      <c r="CS134" s="57">
        <v>5.3999999999999999E-2</v>
      </c>
      <c r="CT134" s="57" t="s">
        <v>921</v>
      </c>
    </row>
    <row r="135" spans="17:125" x14ac:dyDescent="0.25">
      <c r="Q135" s="148" t="s">
        <v>750</v>
      </c>
      <c r="R135" s="148"/>
      <c r="S135" s="148"/>
      <c r="U135" s="129">
        <v>18.5</v>
      </c>
      <c r="V135" s="130">
        <v>90</v>
      </c>
      <c r="W135" s="130"/>
      <c r="X135" s="130">
        <v>525</v>
      </c>
      <c r="Y135" s="130">
        <v>120</v>
      </c>
      <c r="Z135" s="130"/>
      <c r="AA135" s="63"/>
      <c r="AC135" s="129">
        <v>48</v>
      </c>
      <c r="AD135" s="64">
        <v>-1</v>
      </c>
      <c r="AE135" s="130">
        <v>85</v>
      </c>
      <c r="AF135" s="65">
        <v>-1</v>
      </c>
      <c r="AG135" s="130">
        <v>48</v>
      </c>
      <c r="AH135" s="64">
        <v>0</v>
      </c>
      <c r="AI135" s="130">
        <v>85</v>
      </c>
      <c r="AJ135" s="99">
        <v>0</v>
      </c>
      <c r="AL135" s="68">
        <v>46</v>
      </c>
      <c r="AM135" s="69">
        <v>-1</v>
      </c>
      <c r="AN135" s="61">
        <v>31</v>
      </c>
      <c r="AO135" s="71">
        <v>-0.7</v>
      </c>
      <c r="AP135" s="61"/>
      <c r="AQ135" s="71"/>
      <c r="AR135" s="61">
        <v>46</v>
      </c>
      <c r="AS135" s="69">
        <v>0</v>
      </c>
      <c r="AT135" s="61">
        <v>31</v>
      </c>
      <c r="AU135" s="71">
        <v>0</v>
      </c>
      <c r="AV135" s="61"/>
      <c r="AW135" s="110"/>
      <c r="BB135" s="147" t="s">
        <v>781</v>
      </c>
      <c r="BC135" s="148"/>
      <c r="BD135" s="64">
        <f>VLOOKUP(G16,BH119:BI123,2,FALSE)</f>
        <v>0.5</v>
      </c>
      <c r="BF135" s="130"/>
      <c r="BG135" s="65">
        <v>0.2</v>
      </c>
      <c r="BH135" s="64">
        <v>0.6</v>
      </c>
      <c r="BK135" s="78"/>
      <c r="BM135" s="76">
        <v>2.63</v>
      </c>
      <c r="BN135" s="75">
        <v>-1</v>
      </c>
      <c r="BO135" s="77">
        <v>1.7000000000000001E-2</v>
      </c>
      <c r="BP135" s="75">
        <v>-1</v>
      </c>
      <c r="BQ135" s="109">
        <v>2.63</v>
      </c>
      <c r="BR135" s="75">
        <v>0</v>
      </c>
      <c r="BS135" s="77">
        <v>1.7000000000000001E-2</v>
      </c>
      <c r="BT135" s="75">
        <v>0</v>
      </c>
      <c r="BU135" s="77">
        <v>1.7000000000000001E-2</v>
      </c>
      <c r="BV135" s="78">
        <v>0.35</v>
      </c>
      <c r="BX135" s="133">
        <v>16</v>
      </c>
      <c r="BY135" s="133">
        <v>65</v>
      </c>
      <c r="BZ135" s="133">
        <v>200</v>
      </c>
      <c r="CA135" s="133">
        <v>55</v>
      </c>
      <c r="CB135" s="133" t="s">
        <v>194</v>
      </c>
      <c r="CC135" s="57" t="s">
        <v>55</v>
      </c>
      <c r="CD135" s="57">
        <v>2</v>
      </c>
      <c r="CS135" s="57">
        <v>5.5E-2</v>
      </c>
      <c r="CT135" s="57" t="s">
        <v>922</v>
      </c>
    </row>
    <row r="136" spans="17:125" x14ac:dyDescent="0.25">
      <c r="Q136" s="138">
        <f t="shared" ref="Q136:Q144" si="3">ABS(S136-R136)</f>
        <v>0.83220703125000028</v>
      </c>
      <c r="R136" s="138">
        <v>0</v>
      </c>
      <c r="S136" s="138">
        <f t="shared" ref="S136:S144" si="4">MOD($S$124,1)</f>
        <v>0.83220703125000028</v>
      </c>
      <c r="U136" s="129">
        <v>19</v>
      </c>
      <c r="V136" s="130">
        <v>95</v>
      </c>
      <c r="W136" s="130"/>
      <c r="X136" s="130">
        <v>550</v>
      </c>
      <c r="Y136" s="130">
        <v>125</v>
      </c>
      <c r="Z136" s="130"/>
      <c r="AA136" s="63"/>
      <c r="AC136" s="129">
        <v>51</v>
      </c>
      <c r="AD136" s="64">
        <v>-1</v>
      </c>
      <c r="AE136" s="130">
        <v>90</v>
      </c>
      <c r="AF136" s="65">
        <v>-1</v>
      </c>
      <c r="AG136" s="130">
        <v>51</v>
      </c>
      <c r="AH136" s="64">
        <v>0</v>
      </c>
      <c r="AI136" s="130">
        <v>90</v>
      </c>
      <c r="AJ136" s="99">
        <v>0</v>
      </c>
      <c r="AL136" s="68">
        <v>47</v>
      </c>
      <c r="AM136" s="69">
        <v>-1</v>
      </c>
      <c r="AN136" s="61">
        <v>32</v>
      </c>
      <c r="AO136" s="71">
        <v>-0.8</v>
      </c>
      <c r="AP136" s="61"/>
      <c r="AQ136" s="71"/>
      <c r="AR136" s="61">
        <v>47</v>
      </c>
      <c r="AS136" s="69">
        <v>0</v>
      </c>
      <c r="AT136" s="61">
        <v>32</v>
      </c>
      <c r="AU136" s="71">
        <v>0</v>
      </c>
      <c r="AV136" s="61"/>
      <c r="AW136" s="110"/>
      <c r="BB136" s="147" t="s">
        <v>728</v>
      </c>
      <c r="BC136" s="148"/>
      <c r="BD136" s="64">
        <f>((BD134*0.5)+(BD135*0.5))</f>
        <v>0.5</v>
      </c>
      <c r="BF136" s="130"/>
      <c r="BG136" s="65">
        <v>0.1</v>
      </c>
      <c r="BH136" s="64">
        <v>0.55000000000000004</v>
      </c>
      <c r="BK136" s="78"/>
      <c r="BM136" s="76">
        <v>2.64</v>
      </c>
      <c r="BN136" s="75">
        <v>-1</v>
      </c>
      <c r="BO136" s="77">
        <v>1.7999999999999999E-2</v>
      </c>
      <c r="BP136" s="75">
        <v>-1</v>
      </c>
      <c r="BQ136" s="109">
        <v>2.64</v>
      </c>
      <c r="BR136" s="75">
        <v>0</v>
      </c>
      <c r="BS136" s="77">
        <v>1.7999999999999999E-2</v>
      </c>
      <c r="BT136" s="75">
        <v>0</v>
      </c>
      <c r="BU136" s="77">
        <v>1.7999999999999999E-2</v>
      </c>
      <c r="BV136" s="78">
        <v>0.4</v>
      </c>
      <c r="BX136" s="133">
        <v>16.5</v>
      </c>
      <c r="BY136" s="133">
        <v>70</v>
      </c>
      <c r="BZ136" s="133">
        <v>200</v>
      </c>
      <c r="CA136" s="133">
        <v>55</v>
      </c>
      <c r="CB136" s="133" t="s">
        <v>195</v>
      </c>
      <c r="CC136" s="57" t="s">
        <v>55</v>
      </c>
      <c r="CD136" s="57">
        <v>3</v>
      </c>
      <c r="CS136" s="57">
        <v>5.6000000000000001E-2</v>
      </c>
      <c r="CT136" s="57" t="s">
        <v>923</v>
      </c>
    </row>
    <row r="137" spans="17:125" x14ac:dyDescent="0.25">
      <c r="Q137" s="138">
        <f t="shared" si="3"/>
        <v>0.70720703125000028</v>
      </c>
      <c r="R137" s="133">
        <v>0.125</v>
      </c>
      <c r="S137" s="138">
        <f t="shared" si="4"/>
        <v>0.83220703125000028</v>
      </c>
      <c r="U137" s="129">
        <v>19.5</v>
      </c>
      <c r="V137" s="130">
        <v>100</v>
      </c>
      <c r="W137" s="130"/>
      <c r="X137" s="130">
        <v>575</v>
      </c>
      <c r="Y137" s="130">
        <v>130</v>
      </c>
      <c r="Z137" s="130"/>
      <c r="AA137" s="63"/>
      <c r="AC137" s="129"/>
      <c r="AD137" s="130"/>
      <c r="AE137" s="130"/>
      <c r="AF137" s="130"/>
      <c r="AG137" s="130"/>
      <c r="AH137" s="130"/>
      <c r="AI137" s="130"/>
      <c r="AJ137" s="63"/>
      <c r="AL137" s="68">
        <v>48</v>
      </c>
      <c r="AM137" s="69">
        <v>-1</v>
      </c>
      <c r="AN137" s="61">
        <v>33</v>
      </c>
      <c r="AO137" s="71">
        <v>-0.9</v>
      </c>
      <c r="AP137" s="61"/>
      <c r="AQ137" s="71"/>
      <c r="AR137" s="61">
        <v>48</v>
      </c>
      <c r="AS137" s="69">
        <v>0</v>
      </c>
      <c r="AT137" s="61">
        <v>33</v>
      </c>
      <c r="AU137" s="71">
        <v>0</v>
      </c>
      <c r="AV137" s="61"/>
      <c r="AW137" s="110"/>
      <c r="BB137" s="147" t="s">
        <v>754</v>
      </c>
      <c r="BC137" s="148"/>
      <c r="BD137" s="65">
        <f>(BC120)</f>
        <v>0</v>
      </c>
      <c r="BF137" s="130" t="s">
        <v>782</v>
      </c>
      <c r="BG137" s="65">
        <v>0</v>
      </c>
      <c r="BH137" s="64">
        <v>0.5</v>
      </c>
      <c r="BK137" s="78"/>
      <c r="BM137" s="76">
        <v>2.65</v>
      </c>
      <c r="BN137" s="75">
        <v>-1</v>
      </c>
      <c r="BO137" s="77">
        <v>1.9E-2</v>
      </c>
      <c r="BP137" s="75">
        <v>-1</v>
      </c>
      <c r="BQ137" s="109">
        <v>2.65</v>
      </c>
      <c r="BR137" s="75">
        <v>0</v>
      </c>
      <c r="BS137" s="77">
        <v>1.9E-2</v>
      </c>
      <c r="BT137" s="75">
        <v>0</v>
      </c>
      <c r="BU137" s="77">
        <v>1.9E-2</v>
      </c>
      <c r="BV137" s="78">
        <v>0.45</v>
      </c>
      <c r="BX137" s="133">
        <v>17</v>
      </c>
      <c r="BY137" s="133">
        <v>75</v>
      </c>
      <c r="BZ137" s="133">
        <v>200</v>
      </c>
      <c r="CA137" s="133">
        <v>55</v>
      </c>
      <c r="CB137" s="133" t="s">
        <v>196</v>
      </c>
      <c r="CC137" s="57" t="s">
        <v>56</v>
      </c>
      <c r="CD137" s="57">
        <v>4</v>
      </c>
      <c r="CS137" s="57">
        <v>5.7000000000000002E-2</v>
      </c>
      <c r="CT137" s="57" t="s">
        <v>924</v>
      </c>
      <c r="DM137" s="61"/>
      <c r="DN137" s="61"/>
      <c r="DO137" s="61"/>
      <c r="DP137" s="61"/>
      <c r="DQ137" s="61"/>
      <c r="DR137" s="61"/>
      <c r="DS137" s="61"/>
      <c r="DT137" s="61"/>
      <c r="DU137" s="61"/>
    </row>
    <row r="138" spans="17:125" x14ac:dyDescent="0.25">
      <c r="Q138" s="138">
        <f t="shared" si="3"/>
        <v>0.58220703125000028</v>
      </c>
      <c r="R138" s="138">
        <v>0.25</v>
      </c>
      <c r="S138" s="138">
        <f t="shared" si="4"/>
        <v>0.83220703125000028</v>
      </c>
      <c r="U138" s="129">
        <v>20</v>
      </c>
      <c r="V138" s="130">
        <v>105</v>
      </c>
      <c r="W138" s="130"/>
      <c r="X138" s="130">
        <v>600</v>
      </c>
      <c r="Y138" s="130">
        <v>135</v>
      </c>
      <c r="Z138" s="130"/>
      <c r="AA138" s="63"/>
      <c r="AC138" s="147" t="s">
        <v>34</v>
      </c>
      <c r="AD138" s="148"/>
      <c r="AE138" s="130"/>
      <c r="AF138" s="130"/>
      <c r="AG138" s="130"/>
      <c r="AH138" s="130"/>
      <c r="AI138" s="130"/>
      <c r="AJ138" s="63"/>
      <c r="AL138" s="68">
        <v>49</v>
      </c>
      <c r="AM138" s="69">
        <v>-1</v>
      </c>
      <c r="AN138" s="61">
        <v>34</v>
      </c>
      <c r="AO138" s="71">
        <v>-1</v>
      </c>
      <c r="AP138" s="61"/>
      <c r="AQ138" s="71"/>
      <c r="AR138" s="61">
        <v>49</v>
      </c>
      <c r="AS138" s="69">
        <v>0</v>
      </c>
      <c r="AT138" s="61">
        <v>34</v>
      </c>
      <c r="AU138" s="71">
        <v>0</v>
      </c>
      <c r="AV138" s="61"/>
      <c r="AW138" s="110"/>
      <c r="BB138" s="147" t="s">
        <v>717</v>
      </c>
      <c r="BC138" s="148"/>
      <c r="BD138" s="111" t="b">
        <f>VLOOKUP(G13,BF31:BG32,2,FALSE)</f>
        <v>0</v>
      </c>
      <c r="BF138" s="130"/>
      <c r="BG138" s="65">
        <v>-0.1</v>
      </c>
      <c r="BH138" s="64">
        <v>0.45</v>
      </c>
      <c r="BK138" s="78"/>
      <c r="BM138" s="76">
        <v>2.66</v>
      </c>
      <c r="BN138" s="75">
        <v>-1</v>
      </c>
      <c r="BO138" s="77">
        <v>0.02</v>
      </c>
      <c r="BP138" s="75">
        <v>-1</v>
      </c>
      <c r="BQ138" s="109">
        <v>2.66</v>
      </c>
      <c r="BR138" s="75">
        <v>0</v>
      </c>
      <c r="BS138" s="77">
        <v>0.02</v>
      </c>
      <c r="BT138" s="75">
        <v>0</v>
      </c>
      <c r="BU138" s="77">
        <v>0.02</v>
      </c>
      <c r="BV138" s="78">
        <v>0.5</v>
      </c>
      <c r="BX138" s="133">
        <v>17.5</v>
      </c>
      <c r="BY138" s="133">
        <v>80</v>
      </c>
      <c r="BZ138" s="133">
        <v>200</v>
      </c>
      <c r="CA138" s="133">
        <v>55</v>
      </c>
      <c r="CB138" s="133" t="s">
        <v>197</v>
      </c>
      <c r="CC138" s="57" t="s">
        <v>56</v>
      </c>
      <c r="CD138" s="57">
        <v>5</v>
      </c>
      <c r="CS138" s="57">
        <v>5.8000000000000003E-2</v>
      </c>
      <c r="CT138" s="57" t="s">
        <v>867</v>
      </c>
      <c r="DM138" s="61"/>
      <c r="DN138" s="61"/>
      <c r="DO138" s="61"/>
      <c r="DP138" s="61"/>
      <c r="DQ138" s="61"/>
      <c r="DR138" s="61"/>
      <c r="DS138" s="61"/>
      <c r="DT138" s="61"/>
      <c r="DU138" s="61"/>
    </row>
    <row r="139" spans="17:125" x14ac:dyDescent="0.25">
      <c r="Q139" s="138">
        <f t="shared" si="3"/>
        <v>0.45720703125000028</v>
      </c>
      <c r="R139" s="133">
        <v>0.375</v>
      </c>
      <c r="S139" s="138">
        <f t="shared" si="4"/>
        <v>0.83220703125000028</v>
      </c>
      <c r="U139" s="129">
        <v>20.5</v>
      </c>
      <c r="V139" s="130">
        <v>110</v>
      </c>
      <c r="W139" s="130"/>
      <c r="X139" s="130"/>
      <c r="Y139" s="130"/>
      <c r="Z139" s="130"/>
      <c r="AA139" s="63"/>
      <c r="AC139" s="147" t="s">
        <v>36</v>
      </c>
      <c r="AD139" s="148"/>
      <c r="AE139" s="112">
        <f>VLOOKUP(E15,AC119:AD136,2,FALSE)</f>
        <v>0.15</v>
      </c>
      <c r="AF139" s="130"/>
      <c r="AG139" s="148" t="s">
        <v>776</v>
      </c>
      <c r="AH139" s="148"/>
      <c r="AI139" s="130" t="s">
        <v>775</v>
      </c>
      <c r="AJ139" s="63"/>
      <c r="AL139" s="68">
        <v>50</v>
      </c>
      <c r="AM139" s="69">
        <v>-1</v>
      </c>
      <c r="AN139" s="61">
        <v>35</v>
      </c>
      <c r="AO139" s="71">
        <v>-1</v>
      </c>
      <c r="AP139" s="61"/>
      <c r="AQ139" s="71"/>
      <c r="AR139" s="61">
        <v>50</v>
      </c>
      <c r="AS139" s="69">
        <v>0</v>
      </c>
      <c r="AT139" s="61">
        <v>35</v>
      </c>
      <c r="AU139" s="71">
        <v>0</v>
      </c>
      <c r="AV139" s="61"/>
      <c r="AW139" s="110"/>
      <c r="BB139" s="147" t="s">
        <v>753</v>
      </c>
      <c r="BC139" s="148"/>
      <c r="BD139" s="111">
        <f>(3.375)</f>
        <v>3.375</v>
      </c>
      <c r="BF139" s="130"/>
      <c r="BG139" s="65">
        <v>-0.2</v>
      </c>
      <c r="BH139" s="64">
        <v>0.4</v>
      </c>
      <c r="BK139" s="78"/>
      <c r="BM139" s="76">
        <v>2.67</v>
      </c>
      <c r="BN139" s="75">
        <v>-1</v>
      </c>
      <c r="BO139" s="77">
        <v>2.1000000000000001E-2</v>
      </c>
      <c r="BP139" s="75">
        <v>-0.95</v>
      </c>
      <c r="BQ139" s="109">
        <v>2.67</v>
      </c>
      <c r="BR139" s="75">
        <v>0</v>
      </c>
      <c r="BS139" s="77">
        <v>2.1000000000000001E-2</v>
      </c>
      <c r="BT139" s="75">
        <v>2.5000000000000001E-2</v>
      </c>
      <c r="BU139" s="77">
        <v>2.1000000000000001E-2</v>
      </c>
      <c r="BV139" s="78">
        <v>0.55000000000000004</v>
      </c>
      <c r="BX139" s="133">
        <v>18</v>
      </c>
      <c r="BY139" s="133">
        <v>85</v>
      </c>
      <c r="BZ139" s="133">
        <v>200</v>
      </c>
      <c r="CA139" s="133">
        <v>55</v>
      </c>
      <c r="CB139" s="133" t="s">
        <v>198</v>
      </c>
      <c r="CC139" s="57" t="s">
        <v>56</v>
      </c>
      <c r="CD139" s="57">
        <v>6</v>
      </c>
      <c r="CS139" s="57">
        <v>5.8999999999999997E-2</v>
      </c>
      <c r="CT139" s="57" t="s">
        <v>866</v>
      </c>
      <c r="DM139" s="61"/>
      <c r="DN139" s="61"/>
      <c r="DO139" s="61"/>
      <c r="DP139" s="61"/>
      <c r="DQ139" s="61"/>
      <c r="DR139" s="61"/>
      <c r="DS139" s="61"/>
      <c r="DT139" s="61"/>
      <c r="DU139" s="61"/>
    </row>
    <row r="140" spans="17:125" x14ac:dyDescent="0.25">
      <c r="Q140" s="138">
        <f t="shared" si="3"/>
        <v>0.33220703125000028</v>
      </c>
      <c r="R140" s="138">
        <v>0.5</v>
      </c>
      <c r="S140" s="138">
        <f t="shared" si="4"/>
        <v>0.83220703125000028</v>
      </c>
      <c r="U140" s="129">
        <v>21</v>
      </c>
      <c r="V140" s="130">
        <v>115</v>
      </c>
      <c r="W140" s="130"/>
      <c r="X140" s="61"/>
      <c r="Y140" s="148" t="s">
        <v>776</v>
      </c>
      <c r="Z140" s="148"/>
      <c r="AA140" s="63" t="s">
        <v>775</v>
      </c>
      <c r="AC140" s="147" t="s">
        <v>35</v>
      </c>
      <c r="AD140" s="148"/>
      <c r="AE140" s="112">
        <f>VLOOKUP(E16,AE119:AF136,2,FALSE)</f>
        <v>-0.3</v>
      </c>
      <c r="AF140" s="130"/>
      <c r="AG140" s="61" t="s">
        <v>33</v>
      </c>
      <c r="AH140" s="91">
        <v>-1</v>
      </c>
      <c r="AI140" s="91">
        <v>0</v>
      </c>
      <c r="AJ140" s="63"/>
      <c r="AL140" s="68">
        <v>51</v>
      </c>
      <c r="AM140" s="69">
        <v>-1</v>
      </c>
      <c r="AN140" s="69"/>
      <c r="AO140" s="61"/>
      <c r="AP140" s="61"/>
      <c r="AQ140" s="61"/>
      <c r="AR140" s="61">
        <v>51</v>
      </c>
      <c r="AS140" s="69">
        <v>0</v>
      </c>
      <c r="AT140" s="69"/>
      <c r="AU140" s="61"/>
      <c r="AV140" s="61"/>
      <c r="AW140" s="80"/>
      <c r="BB140" s="147" t="s">
        <v>774</v>
      </c>
      <c r="BC140" s="148"/>
      <c r="BD140" s="130">
        <f>IF(BD138=FALSE,5.0625,1.6875)</f>
        <v>5.0625</v>
      </c>
      <c r="BF140" s="130"/>
      <c r="BG140" s="65">
        <v>-0.3</v>
      </c>
      <c r="BH140" s="64">
        <v>0.35</v>
      </c>
      <c r="BK140" s="78"/>
      <c r="BM140" s="76">
        <v>2.68</v>
      </c>
      <c r="BN140" s="75">
        <v>-1</v>
      </c>
      <c r="BO140" s="77">
        <v>2.1999999999999999E-2</v>
      </c>
      <c r="BP140" s="75">
        <v>-0.9</v>
      </c>
      <c r="BQ140" s="109">
        <v>2.68</v>
      </c>
      <c r="BR140" s="75">
        <v>0</v>
      </c>
      <c r="BS140" s="77">
        <v>2.1999999999999999E-2</v>
      </c>
      <c r="BT140" s="75">
        <v>0.05</v>
      </c>
      <c r="BU140" s="77">
        <v>2.1999999999999999E-2</v>
      </c>
      <c r="BV140" s="78">
        <v>0.6</v>
      </c>
      <c r="BX140" s="133">
        <v>18.5</v>
      </c>
      <c r="BY140" s="133">
        <v>90</v>
      </c>
      <c r="BZ140" s="133">
        <v>200</v>
      </c>
      <c r="CA140" s="133">
        <v>55</v>
      </c>
      <c r="CB140" s="133" t="s">
        <v>199</v>
      </c>
      <c r="CC140" s="57" t="s">
        <v>57</v>
      </c>
      <c r="CD140" s="57">
        <v>7</v>
      </c>
      <c r="CS140" s="128">
        <v>0.06</v>
      </c>
      <c r="CT140" s="57" t="s">
        <v>865</v>
      </c>
      <c r="DM140" s="61"/>
      <c r="DN140" s="61"/>
      <c r="DO140" s="61"/>
      <c r="DP140" s="61"/>
      <c r="DQ140" s="61"/>
      <c r="DR140" s="61"/>
      <c r="DS140" s="61"/>
      <c r="DT140" s="61"/>
      <c r="DU140" s="61"/>
    </row>
    <row r="141" spans="17:125" x14ac:dyDescent="0.25">
      <c r="Q141" s="138">
        <f t="shared" si="3"/>
        <v>0.20720703125000028</v>
      </c>
      <c r="R141" s="133">
        <v>0.625</v>
      </c>
      <c r="S141" s="138">
        <f t="shared" si="4"/>
        <v>0.83220703125000028</v>
      </c>
      <c r="U141" s="129">
        <v>21.5</v>
      </c>
      <c r="V141" s="130">
        <v>120</v>
      </c>
      <c r="W141" s="130"/>
      <c r="X141" s="130"/>
      <c r="Y141" s="130">
        <v>-26</v>
      </c>
      <c r="Z141" s="64">
        <v>1</v>
      </c>
      <c r="AA141" s="99">
        <v>1</v>
      </c>
      <c r="AC141" s="147" t="s">
        <v>726</v>
      </c>
      <c r="AD141" s="148"/>
      <c r="AE141" s="112">
        <f>((AE139*0.4)+(AE140*0.6))</f>
        <v>-0.12</v>
      </c>
      <c r="AF141" s="130"/>
      <c r="AG141" s="61"/>
      <c r="AH141" s="91">
        <v>-1</v>
      </c>
      <c r="AI141" s="91">
        <v>0</v>
      </c>
      <c r="AJ141" s="63"/>
      <c r="AL141" s="68">
        <v>52</v>
      </c>
      <c r="AM141" s="69">
        <v>-1</v>
      </c>
      <c r="AN141" s="70"/>
      <c r="AO141" s="61"/>
      <c r="AP141" s="61"/>
      <c r="AQ141" s="61"/>
      <c r="AR141" s="61">
        <v>52</v>
      </c>
      <c r="AS141" s="69">
        <v>0</v>
      </c>
      <c r="AT141" s="70"/>
      <c r="AU141" s="61"/>
      <c r="AV141" s="61"/>
      <c r="AW141" s="80"/>
      <c r="BB141" s="147" t="s">
        <v>770</v>
      </c>
      <c r="BC141" s="148"/>
      <c r="BD141" s="130">
        <f>IF(BD138=FALSE,((BD139+((BD140-BD139)*ABS(BD136)))),((BD139-((BD139-BD140)*ABS(BD136)))))</f>
        <v>4.21875</v>
      </c>
      <c r="BF141" s="130"/>
      <c r="BG141" s="65">
        <v>-0.4</v>
      </c>
      <c r="BH141" s="64">
        <v>0.3</v>
      </c>
      <c r="BK141" s="78"/>
      <c r="BM141" s="76">
        <v>2.69</v>
      </c>
      <c r="BN141" s="75">
        <v>-1</v>
      </c>
      <c r="BO141" s="77">
        <v>2.3E-2</v>
      </c>
      <c r="BP141" s="75">
        <v>-0.85</v>
      </c>
      <c r="BQ141" s="109">
        <v>2.69</v>
      </c>
      <c r="BR141" s="75">
        <v>0</v>
      </c>
      <c r="BS141" s="77">
        <v>2.3E-2</v>
      </c>
      <c r="BT141" s="75">
        <v>7.4999999999999997E-2</v>
      </c>
      <c r="BU141" s="77">
        <v>2.3E-2</v>
      </c>
      <c r="BV141" s="78">
        <v>0.65</v>
      </c>
      <c r="BX141" s="133">
        <v>19</v>
      </c>
      <c r="BY141" s="133">
        <v>95</v>
      </c>
      <c r="BZ141" s="133">
        <v>200</v>
      </c>
      <c r="CA141" s="133">
        <v>55</v>
      </c>
      <c r="CB141" s="133" t="s">
        <v>200</v>
      </c>
      <c r="CC141" s="57" t="s">
        <v>57</v>
      </c>
      <c r="CD141" s="57">
        <v>8</v>
      </c>
      <c r="DM141" s="61"/>
      <c r="DN141" s="61"/>
      <c r="DO141" s="61"/>
      <c r="DP141" s="61"/>
      <c r="DQ141" s="61"/>
      <c r="DR141" s="61"/>
      <c r="DS141" s="61"/>
      <c r="DT141" s="61"/>
      <c r="DU141" s="61"/>
    </row>
    <row r="142" spans="17:125" x14ac:dyDescent="0.25">
      <c r="Q142" s="138">
        <f t="shared" si="3"/>
        <v>8.2207031250000284E-2</v>
      </c>
      <c r="R142" s="138">
        <v>0.75</v>
      </c>
      <c r="S142" s="138">
        <f t="shared" si="4"/>
        <v>0.83220703125000028</v>
      </c>
      <c r="U142" s="129">
        <v>22</v>
      </c>
      <c r="V142" s="130">
        <v>125</v>
      </c>
      <c r="W142" s="130"/>
      <c r="X142" s="61"/>
      <c r="Y142" s="130">
        <v>-25</v>
      </c>
      <c r="Z142" s="64">
        <v>1</v>
      </c>
      <c r="AA142" s="99">
        <v>1</v>
      </c>
      <c r="AC142" s="147" t="s">
        <v>754</v>
      </c>
      <c r="AD142" s="148"/>
      <c r="AE142" s="112">
        <f>(BC119)</f>
        <v>-0.5</v>
      </c>
      <c r="AF142" s="130"/>
      <c r="AG142" s="61"/>
      <c r="AH142" s="91">
        <v>-1</v>
      </c>
      <c r="AI142" s="91">
        <v>0</v>
      </c>
      <c r="AJ142" s="63"/>
      <c r="AL142" s="68">
        <v>53</v>
      </c>
      <c r="AM142" s="69">
        <v>-1</v>
      </c>
      <c r="AN142" s="69"/>
      <c r="AO142" s="61"/>
      <c r="AP142" s="61"/>
      <c r="AQ142" s="61"/>
      <c r="AR142" s="61">
        <v>53</v>
      </c>
      <c r="AS142" s="69">
        <v>0</v>
      </c>
      <c r="AT142" s="69"/>
      <c r="AU142" s="61"/>
      <c r="AV142" s="61"/>
      <c r="AW142" s="80"/>
      <c r="BB142" s="147" t="s">
        <v>754</v>
      </c>
      <c r="BC142" s="148"/>
      <c r="BD142" s="65">
        <f>(BC121)</f>
        <v>0.5</v>
      </c>
      <c r="BF142" s="130"/>
      <c r="BG142" s="65">
        <v>-0.5</v>
      </c>
      <c r="BH142" s="64">
        <v>0.25</v>
      </c>
      <c r="BK142" s="78"/>
      <c r="BM142" s="76">
        <v>2.7</v>
      </c>
      <c r="BN142" s="75">
        <v>-1</v>
      </c>
      <c r="BO142" s="77">
        <v>2.4E-2</v>
      </c>
      <c r="BP142" s="75">
        <v>-0.8</v>
      </c>
      <c r="BQ142" s="109">
        <v>2.7</v>
      </c>
      <c r="BR142" s="75">
        <v>0</v>
      </c>
      <c r="BS142" s="77">
        <v>2.4E-2</v>
      </c>
      <c r="BT142" s="75">
        <v>0.1</v>
      </c>
      <c r="BU142" s="77">
        <v>2.4E-2</v>
      </c>
      <c r="BV142" s="78">
        <v>0.7</v>
      </c>
      <c r="BX142" s="133">
        <v>19.5</v>
      </c>
      <c r="BY142" s="133">
        <v>100</v>
      </c>
      <c r="BZ142" s="133">
        <v>200</v>
      </c>
      <c r="CA142" s="133">
        <v>55</v>
      </c>
      <c r="CB142" s="133" t="s">
        <v>201</v>
      </c>
      <c r="CC142" s="57" t="s">
        <v>57</v>
      </c>
      <c r="CD142" s="57">
        <v>9</v>
      </c>
      <c r="DM142" s="61"/>
      <c r="DN142" s="61"/>
      <c r="DO142" s="61"/>
      <c r="DP142" s="61"/>
      <c r="DQ142" s="61"/>
      <c r="DR142" s="61"/>
      <c r="DS142" s="61"/>
      <c r="DT142" s="61"/>
      <c r="DU142" s="61"/>
    </row>
    <row r="143" spans="17:125" x14ac:dyDescent="0.25">
      <c r="Q143" s="138">
        <f t="shared" si="3"/>
        <v>4.2792968749999716E-2</v>
      </c>
      <c r="R143" s="133">
        <v>0.875</v>
      </c>
      <c r="S143" s="138">
        <f t="shared" si="4"/>
        <v>0.83220703125000028</v>
      </c>
      <c r="U143" s="129">
        <v>22.5</v>
      </c>
      <c r="V143" s="130">
        <v>130</v>
      </c>
      <c r="W143" s="130"/>
      <c r="X143" s="61"/>
      <c r="Y143" s="130">
        <v>-24</v>
      </c>
      <c r="Z143" s="64">
        <v>1</v>
      </c>
      <c r="AA143" s="99">
        <v>1</v>
      </c>
      <c r="AC143" s="147" t="s">
        <v>753</v>
      </c>
      <c r="AD143" s="148"/>
      <c r="AE143" s="133">
        <f>0+(3.375*ABS(AE142))</f>
        <v>1.6875</v>
      </c>
      <c r="AF143" s="130"/>
      <c r="AG143" s="61"/>
      <c r="AH143" s="91">
        <v>-0.9</v>
      </c>
      <c r="AI143" s="91">
        <v>0</v>
      </c>
      <c r="AJ143" s="63"/>
      <c r="AL143" s="68">
        <v>54</v>
      </c>
      <c r="AM143" s="69">
        <v>-1</v>
      </c>
      <c r="AN143" s="70"/>
      <c r="AO143" s="61"/>
      <c r="AP143" s="61"/>
      <c r="AQ143" s="61"/>
      <c r="AR143" s="61">
        <v>54</v>
      </c>
      <c r="AS143" s="69">
        <v>0</v>
      </c>
      <c r="AT143" s="70"/>
      <c r="AU143" s="61"/>
      <c r="AV143" s="61"/>
      <c r="AW143" s="80"/>
      <c r="BB143" s="147" t="s">
        <v>753</v>
      </c>
      <c r="BC143" s="148"/>
      <c r="BD143" s="130">
        <f>6.75-(3.375*ABS(BD142))</f>
        <v>5.0625</v>
      </c>
      <c r="BF143" s="130"/>
      <c r="BG143" s="65">
        <v>-0.6</v>
      </c>
      <c r="BH143" s="64">
        <v>0.2</v>
      </c>
      <c r="BK143" s="78"/>
      <c r="BM143" s="76">
        <v>2.71</v>
      </c>
      <c r="BN143" s="75">
        <v>-1</v>
      </c>
      <c r="BO143" s="77">
        <v>2.5000000000000001E-2</v>
      </c>
      <c r="BP143" s="75">
        <v>-0.75</v>
      </c>
      <c r="BQ143" s="109">
        <v>2.71</v>
      </c>
      <c r="BR143" s="75">
        <v>0</v>
      </c>
      <c r="BS143" s="77">
        <v>2.5000000000000001E-2</v>
      </c>
      <c r="BT143" s="75">
        <v>0.125</v>
      </c>
      <c r="BU143" s="77">
        <v>2.5000000000000001E-2</v>
      </c>
      <c r="BV143" s="78">
        <v>0.75</v>
      </c>
      <c r="BX143" s="133">
        <v>20</v>
      </c>
      <c r="BY143" s="133">
        <v>105</v>
      </c>
      <c r="BZ143" s="133">
        <v>200</v>
      </c>
      <c r="CA143" s="133">
        <v>55</v>
      </c>
      <c r="CB143" s="133" t="s">
        <v>202</v>
      </c>
      <c r="CC143" s="57" t="s">
        <v>58</v>
      </c>
      <c r="CD143" s="57">
        <v>10</v>
      </c>
      <c r="DM143" s="61"/>
      <c r="DN143" s="61"/>
      <c r="DO143" s="61"/>
      <c r="DP143" s="61"/>
      <c r="DQ143" s="61"/>
      <c r="DR143" s="61"/>
      <c r="DS143" s="61"/>
      <c r="DT143" s="61"/>
      <c r="DU143" s="61"/>
    </row>
    <row r="144" spans="17:125" x14ac:dyDescent="0.25">
      <c r="Q144" s="138">
        <f t="shared" si="3"/>
        <v>0.16779296874999972</v>
      </c>
      <c r="R144" s="138">
        <v>1</v>
      </c>
      <c r="S144" s="138">
        <f t="shared" si="4"/>
        <v>0.83220703125000028</v>
      </c>
      <c r="U144" s="129">
        <v>23</v>
      </c>
      <c r="V144" s="130">
        <v>135</v>
      </c>
      <c r="W144" s="130"/>
      <c r="X144" s="61"/>
      <c r="Y144" s="130">
        <v>-23</v>
      </c>
      <c r="Z144" s="64">
        <v>1</v>
      </c>
      <c r="AA144" s="99">
        <v>1</v>
      </c>
      <c r="AC144" s="147" t="s">
        <v>714</v>
      </c>
      <c r="AD144" s="148"/>
      <c r="AE144" s="133">
        <f>IF(AE141&gt;0%,0,3.375)</f>
        <v>3.375</v>
      </c>
      <c r="AF144" s="130"/>
      <c r="AG144" s="61" t="s">
        <v>32</v>
      </c>
      <c r="AH144" s="91">
        <v>-0.75</v>
      </c>
      <c r="AI144" s="91">
        <v>0</v>
      </c>
      <c r="AJ144" s="63"/>
      <c r="AL144" s="68">
        <v>55</v>
      </c>
      <c r="AM144" s="69">
        <v>-1</v>
      </c>
      <c r="AN144" s="69"/>
      <c r="AO144" s="61"/>
      <c r="AP144" s="61"/>
      <c r="AQ144" s="61"/>
      <c r="AR144" s="61">
        <v>55</v>
      </c>
      <c r="AS144" s="69">
        <v>0</v>
      </c>
      <c r="AT144" s="69"/>
      <c r="AU144" s="61"/>
      <c r="AV144" s="61"/>
      <c r="AW144" s="80"/>
      <c r="BB144" s="147" t="s">
        <v>714</v>
      </c>
      <c r="BC144" s="148"/>
      <c r="BD144" s="130">
        <f>IF(BD129&gt;0%,3.375,6.75)</f>
        <v>6.75</v>
      </c>
      <c r="BF144" s="130"/>
      <c r="BG144" s="65">
        <v>-0.7</v>
      </c>
      <c r="BH144" s="64">
        <v>0.15</v>
      </c>
      <c r="BK144" s="78"/>
      <c r="BM144" s="76">
        <v>2.72</v>
      </c>
      <c r="BN144" s="75">
        <v>-1</v>
      </c>
      <c r="BO144" s="77">
        <v>2.5999999999999999E-2</v>
      </c>
      <c r="BP144" s="75">
        <v>-0.7</v>
      </c>
      <c r="BQ144" s="109">
        <v>2.72</v>
      </c>
      <c r="BR144" s="75">
        <v>0</v>
      </c>
      <c r="BS144" s="77">
        <v>2.5999999999999999E-2</v>
      </c>
      <c r="BT144" s="75">
        <v>0.15</v>
      </c>
      <c r="BU144" s="77">
        <v>2.5999999999999999E-2</v>
      </c>
      <c r="BV144" s="78">
        <v>0.8</v>
      </c>
      <c r="BX144" s="133">
        <v>20.5</v>
      </c>
      <c r="BY144" s="133">
        <v>110</v>
      </c>
      <c r="BZ144" s="133">
        <v>200</v>
      </c>
      <c r="CA144" s="133">
        <v>55</v>
      </c>
      <c r="CB144" s="133" t="s">
        <v>203</v>
      </c>
      <c r="CC144" s="57" t="s">
        <v>58</v>
      </c>
      <c r="CD144" s="57">
        <v>11</v>
      </c>
      <c r="DM144" s="61"/>
      <c r="DN144" s="61"/>
      <c r="DO144" s="61"/>
      <c r="DP144" s="61"/>
      <c r="DQ144" s="61"/>
      <c r="DR144" s="61"/>
      <c r="DS144" s="61"/>
      <c r="DT144" s="61"/>
      <c r="DU144" s="61"/>
    </row>
    <row r="145" spans="17:125" x14ac:dyDescent="0.25">
      <c r="Q145" s="138">
        <f>MIN(Q136:Q144)</f>
        <v>4.2792968749999716E-2</v>
      </c>
      <c r="R145" s="133"/>
      <c r="S145" s="133"/>
      <c r="U145" s="129">
        <v>23.5</v>
      </c>
      <c r="V145" s="130">
        <v>140</v>
      </c>
      <c r="W145" s="130"/>
      <c r="X145" s="130"/>
      <c r="Y145" s="130">
        <v>-22</v>
      </c>
      <c r="Z145" s="64">
        <v>1</v>
      </c>
      <c r="AA145" s="99">
        <v>1</v>
      </c>
      <c r="AC145" s="147" t="s">
        <v>772</v>
      </c>
      <c r="AD145" s="148"/>
      <c r="AE145" s="133">
        <f>IF(AE141&lt;0%,((AE143+((AE144-AE143)*ABS(AE141)))),((AE143-((AE143-AE144)*ABS(AE141)))))</f>
        <v>1.89</v>
      </c>
      <c r="AF145" s="130"/>
      <c r="AG145" s="61"/>
      <c r="AH145" s="91">
        <v>-0.6</v>
      </c>
      <c r="AI145" s="91">
        <v>0.1</v>
      </c>
      <c r="AJ145" s="63"/>
      <c r="AL145" s="68"/>
      <c r="AM145" s="61"/>
      <c r="AN145" s="61"/>
      <c r="AO145" s="61"/>
      <c r="AP145" s="61"/>
      <c r="AQ145" s="61"/>
      <c r="AR145" s="61"/>
      <c r="AS145" s="61"/>
      <c r="AT145" s="91"/>
      <c r="AU145" s="91"/>
      <c r="AV145" s="91"/>
      <c r="AW145" s="92"/>
      <c r="BB145" s="147" t="s">
        <v>771</v>
      </c>
      <c r="BC145" s="148"/>
      <c r="BD145" s="130">
        <f>IF(BD129&lt;0%,((BD143+((BD144-BD143)*ABS(BD129)))),((BD143-((BD143-BD144)*ABS(BD129)))))</f>
        <v>5.0625</v>
      </c>
      <c r="BE145" s="61"/>
      <c r="BF145" s="130"/>
      <c r="BG145" s="65">
        <v>-0.8</v>
      </c>
      <c r="BH145" s="64">
        <v>0.1</v>
      </c>
      <c r="BI145" s="61"/>
      <c r="BJ145" s="61"/>
      <c r="BK145" s="80"/>
      <c r="BM145" s="76">
        <v>2.73</v>
      </c>
      <c r="BN145" s="75">
        <v>-1</v>
      </c>
      <c r="BO145" s="77">
        <v>2.7E-2</v>
      </c>
      <c r="BP145" s="75">
        <v>-0.65</v>
      </c>
      <c r="BQ145" s="109">
        <v>2.73</v>
      </c>
      <c r="BR145" s="75">
        <v>0</v>
      </c>
      <c r="BS145" s="77">
        <v>2.7E-2</v>
      </c>
      <c r="BT145" s="75">
        <v>0.17499999999999999</v>
      </c>
      <c r="BU145" s="77">
        <v>2.7E-2</v>
      </c>
      <c r="BV145" s="78">
        <v>0.85</v>
      </c>
      <c r="BX145" s="133">
        <v>21</v>
      </c>
      <c r="BY145" s="133">
        <v>115</v>
      </c>
      <c r="BZ145" s="133">
        <v>200</v>
      </c>
      <c r="CA145" s="133">
        <v>55</v>
      </c>
      <c r="CB145" s="133" t="s">
        <v>204</v>
      </c>
      <c r="CC145" s="57" t="s">
        <v>58</v>
      </c>
      <c r="CD145" s="57">
        <v>12</v>
      </c>
      <c r="DM145" s="61"/>
      <c r="DN145" s="61"/>
      <c r="DO145" s="61"/>
      <c r="DP145" s="61"/>
      <c r="DQ145" s="61"/>
      <c r="DR145" s="61"/>
      <c r="DS145" s="61"/>
      <c r="DT145" s="61"/>
      <c r="DU145" s="61"/>
    </row>
    <row r="146" spans="17:125" x14ac:dyDescent="0.25">
      <c r="Q146" s="133" t="s">
        <v>749</v>
      </c>
      <c r="R146" s="133"/>
      <c r="S146" s="133"/>
      <c r="U146" s="129">
        <v>24</v>
      </c>
      <c r="V146" s="130">
        <v>145</v>
      </c>
      <c r="W146" s="130"/>
      <c r="X146" s="61"/>
      <c r="Y146" s="130">
        <v>-21</v>
      </c>
      <c r="Z146" s="64">
        <v>1</v>
      </c>
      <c r="AA146" s="99">
        <v>1</v>
      </c>
      <c r="AC146" s="147" t="s">
        <v>36</v>
      </c>
      <c r="AD146" s="148"/>
      <c r="AE146" s="112">
        <f>VLOOKUP(E15,AG119:AH136,2,FALSE)</f>
        <v>0.6</v>
      </c>
      <c r="AF146" s="130"/>
      <c r="AG146" s="61"/>
      <c r="AH146" s="91">
        <v>-0.45</v>
      </c>
      <c r="AI146" s="91">
        <v>0.2</v>
      </c>
      <c r="AJ146" s="63"/>
      <c r="AL146" s="68"/>
      <c r="AM146" s="61"/>
      <c r="AN146" s="148" t="s">
        <v>37</v>
      </c>
      <c r="AO146" s="148"/>
      <c r="AP146" s="148"/>
      <c r="AQ146" s="61"/>
      <c r="AR146" s="61"/>
      <c r="AS146" s="61"/>
      <c r="AT146" s="91"/>
      <c r="AU146" s="91"/>
      <c r="AV146" s="91"/>
      <c r="AW146" s="92"/>
      <c r="BB146" s="147" t="s">
        <v>754</v>
      </c>
      <c r="BC146" s="148"/>
      <c r="BD146" s="64">
        <f>VLOOKUP(G15,BB119:BC121,2,FALSE)</f>
        <v>0</v>
      </c>
      <c r="BE146" s="61"/>
      <c r="BF146" s="130" t="s">
        <v>783</v>
      </c>
      <c r="BG146" s="65">
        <v>-0.9</v>
      </c>
      <c r="BH146" s="64">
        <v>0.05</v>
      </c>
      <c r="BI146" s="61"/>
      <c r="BJ146" s="61"/>
      <c r="BK146" s="80"/>
      <c r="BM146" s="76">
        <v>2.74</v>
      </c>
      <c r="BN146" s="75">
        <v>-1</v>
      </c>
      <c r="BO146" s="77">
        <v>2.8000000000000001E-2</v>
      </c>
      <c r="BP146" s="75">
        <v>-0.6</v>
      </c>
      <c r="BQ146" s="109">
        <v>2.74</v>
      </c>
      <c r="BR146" s="75">
        <v>0</v>
      </c>
      <c r="BS146" s="77">
        <v>2.8000000000000001E-2</v>
      </c>
      <c r="BT146" s="75">
        <v>0.2</v>
      </c>
      <c r="BU146" s="77">
        <v>2.8000000000000001E-2</v>
      </c>
      <c r="BV146" s="78">
        <v>0.9</v>
      </c>
      <c r="BX146" s="133">
        <v>21.5</v>
      </c>
      <c r="BY146" s="133">
        <v>120</v>
      </c>
      <c r="BZ146" s="133">
        <v>200</v>
      </c>
      <c r="CA146" s="133">
        <v>55</v>
      </c>
      <c r="CB146" s="133" t="s">
        <v>205</v>
      </c>
      <c r="CC146" s="57" t="s">
        <v>59</v>
      </c>
      <c r="CD146" s="57">
        <v>13</v>
      </c>
      <c r="DM146" s="61"/>
      <c r="DN146" s="61"/>
      <c r="DO146" s="61"/>
      <c r="DP146" s="61"/>
      <c r="DQ146" s="61"/>
      <c r="DR146" s="61"/>
      <c r="DS146" s="61"/>
      <c r="DT146" s="61"/>
      <c r="DU146" s="61"/>
    </row>
    <row r="147" spans="17:125" x14ac:dyDescent="0.25">
      <c r="Q147" s="139" t="s">
        <v>751</v>
      </c>
      <c r="R147" s="139"/>
      <c r="S147" s="139"/>
      <c r="U147" s="129">
        <v>24.5</v>
      </c>
      <c r="V147" s="130">
        <v>150</v>
      </c>
      <c r="W147" s="130"/>
      <c r="X147" s="61"/>
      <c r="Y147" s="130">
        <v>-20</v>
      </c>
      <c r="Z147" s="64">
        <v>1</v>
      </c>
      <c r="AA147" s="99">
        <v>1</v>
      </c>
      <c r="AC147" s="147" t="s">
        <v>35</v>
      </c>
      <c r="AD147" s="148"/>
      <c r="AE147" s="112">
        <f>VLOOKUP(E16,AI119:AJ136,2,FALSE)</f>
        <v>0.1</v>
      </c>
      <c r="AF147" s="130"/>
      <c r="AG147" s="61"/>
      <c r="AH147" s="91">
        <v>-0.3</v>
      </c>
      <c r="AI147" s="91">
        <v>0.3</v>
      </c>
      <c r="AJ147" s="63"/>
      <c r="AL147" s="68"/>
      <c r="AM147" s="61"/>
      <c r="AN147" s="148" t="s">
        <v>38</v>
      </c>
      <c r="AO147" s="148"/>
      <c r="AP147" s="97">
        <f>VLOOKUP(E19,AL119:AM144,2,FALSE)</f>
        <v>0</v>
      </c>
      <c r="AQ147" s="61"/>
      <c r="AR147" s="61"/>
      <c r="AS147" s="61"/>
      <c r="AT147" s="91"/>
      <c r="AU147" s="91"/>
      <c r="AV147" s="91"/>
      <c r="AW147" s="92"/>
      <c r="BB147" s="147" t="s">
        <v>741</v>
      </c>
      <c r="BC147" s="148"/>
      <c r="BD147" s="130">
        <f>VLOOKUP(BD146,BB150:BC152,2,FALSE)</f>
        <v>4.21875</v>
      </c>
      <c r="BE147" s="61"/>
      <c r="BF147" s="113"/>
      <c r="BG147" s="61"/>
      <c r="BH147" s="61"/>
      <c r="BI147" s="61"/>
      <c r="BJ147" s="61"/>
      <c r="BK147" s="80"/>
      <c r="BM147" s="76">
        <v>2.75</v>
      </c>
      <c r="BN147" s="75">
        <v>-1</v>
      </c>
      <c r="BO147" s="77">
        <v>2.9000000000000001E-2</v>
      </c>
      <c r="BP147" s="75">
        <v>-0.55000000000000004</v>
      </c>
      <c r="BQ147" s="109">
        <v>2.75</v>
      </c>
      <c r="BR147" s="75">
        <v>0</v>
      </c>
      <c r="BS147" s="77">
        <v>2.9000000000000001E-2</v>
      </c>
      <c r="BT147" s="75">
        <v>0.22500000000000001</v>
      </c>
      <c r="BU147" s="77">
        <v>2.9000000000000001E-2</v>
      </c>
      <c r="BV147" s="78">
        <v>0.95</v>
      </c>
      <c r="BX147" s="133">
        <v>22</v>
      </c>
      <c r="BY147" s="133">
        <v>125</v>
      </c>
      <c r="BZ147" s="133">
        <v>200</v>
      </c>
      <c r="CA147" s="133">
        <v>55</v>
      </c>
      <c r="CB147" s="133" t="s">
        <v>206</v>
      </c>
      <c r="CC147" s="57" t="s">
        <v>59</v>
      </c>
      <c r="CD147" s="57">
        <v>14</v>
      </c>
      <c r="DM147" s="61"/>
      <c r="DN147" s="61"/>
      <c r="DO147" s="61"/>
      <c r="DP147" s="61"/>
      <c r="DQ147" s="61"/>
      <c r="DR147" s="61"/>
      <c r="DS147" s="61"/>
      <c r="DT147" s="61"/>
      <c r="DU147" s="61"/>
    </row>
    <row r="148" spans="17:125" x14ac:dyDescent="0.25">
      <c r="Q148" s="138">
        <f t="shared" ref="Q148:Q156" si="5">ABS(S148-R148)</f>
        <v>0.83220703125000028</v>
      </c>
      <c r="R148" s="138">
        <v>0</v>
      </c>
      <c r="S148" s="138">
        <f t="shared" ref="S148:S156" si="6">MOD($S$125,1)</f>
        <v>0.83220703125000028</v>
      </c>
      <c r="U148" s="129">
        <v>25</v>
      </c>
      <c r="V148" s="130">
        <v>155</v>
      </c>
      <c r="W148" s="130"/>
      <c r="X148" s="61"/>
      <c r="Y148" s="130">
        <v>-19</v>
      </c>
      <c r="Z148" s="64">
        <v>1</v>
      </c>
      <c r="AA148" s="99">
        <v>1</v>
      </c>
      <c r="AC148" s="147" t="s">
        <v>726</v>
      </c>
      <c r="AD148" s="148"/>
      <c r="AE148" s="112">
        <f>((AE146*0.4)+(AE147*0.6))</f>
        <v>0.3</v>
      </c>
      <c r="AF148" s="130"/>
      <c r="AG148" s="61"/>
      <c r="AH148" s="91">
        <v>-0.15</v>
      </c>
      <c r="AI148" s="91">
        <v>0.4</v>
      </c>
      <c r="AJ148" s="63"/>
      <c r="AL148" s="68"/>
      <c r="AM148" s="61"/>
      <c r="AN148" s="148" t="s">
        <v>39</v>
      </c>
      <c r="AO148" s="148"/>
      <c r="AP148" s="97">
        <f>VLOOKUP(E20,AN119:AO139,2,FALSE)</f>
        <v>-0.1</v>
      </c>
      <c r="AQ148" s="61"/>
      <c r="AR148" s="61"/>
      <c r="AS148" s="61"/>
      <c r="AT148" s="91"/>
      <c r="AU148" s="91"/>
      <c r="AV148" s="91"/>
      <c r="AW148" s="92"/>
      <c r="BB148" s="147"/>
      <c r="BC148" s="148"/>
      <c r="BD148" s="61"/>
      <c r="BE148" s="61"/>
      <c r="BF148" s="61"/>
      <c r="BG148" s="61"/>
      <c r="BH148" s="61"/>
      <c r="BI148" s="61"/>
      <c r="BJ148" s="61"/>
      <c r="BK148" s="80"/>
      <c r="BM148" s="76">
        <v>2.76</v>
      </c>
      <c r="BN148" s="75">
        <v>-1</v>
      </c>
      <c r="BO148" s="77">
        <v>0.03</v>
      </c>
      <c r="BP148" s="75">
        <v>-0.5</v>
      </c>
      <c r="BQ148" s="109">
        <v>2.76</v>
      </c>
      <c r="BR148" s="75">
        <v>0</v>
      </c>
      <c r="BS148" s="77">
        <v>0.03</v>
      </c>
      <c r="BT148" s="75">
        <v>0.25</v>
      </c>
      <c r="BU148" s="77">
        <v>0.03</v>
      </c>
      <c r="BV148" s="78">
        <v>1</v>
      </c>
      <c r="BX148" s="133">
        <v>22.5</v>
      </c>
      <c r="BY148" s="133">
        <v>130</v>
      </c>
      <c r="BZ148" s="133">
        <v>200</v>
      </c>
      <c r="CA148" s="133">
        <v>55</v>
      </c>
      <c r="CB148" s="133" t="s">
        <v>207</v>
      </c>
      <c r="CC148" s="57" t="s">
        <v>59</v>
      </c>
      <c r="CD148" s="57">
        <v>15</v>
      </c>
      <c r="DM148" s="61"/>
      <c r="DN148" s="61"/>
      <c r="DO148" s="61"/>
      <c r="DP148" s="61"/>
      <c r="DQ148" s="61"/>
      <c r="DR148" s="61"/>
      <c r="DS148" s="61"/>
      <c r="DT148" s="61"/>
      <c r="DU148" s="61"/>
    </row>
    <row r="149" spans="17:125" x14ac:dyDescent="0.25">
      <c r="Q149" s="138">
        <f t="shared" si="5"/>
        <v>0.70720703125000028</v>
      </c>
      <c r="R149" s="133">
        <v>0.125</v>
      </c>
      <c r="S149" s="138">
        <f t="shared" si="6"/>
        <v>0.83220703125000028</v>
      </c>
      <c r="U149" s="147" t="s">
        <v>27</v>
      </c>
      <c r="V149" s="148"/>
      <c r="W149" s="148"/>
      <c r="X149" s="61"/>
      <c r="Y149" s="130">
        <v>-18</v>
      </c>
      <c r="Z149" s="64">
        <v>1</v>
      </c>
      <c r="AA149" s="99">
        <v>1</v>
      </c>
      <c r="AC149" s="147" t="s">
        <v>754</v>
      </c>
      <c r="AD149" s="148"/>
      <c r="AE149" s="67">
        <f>(BC120)</f>
        <v>0</v>
      </c>
      <c r="AF149" s="130"/>
      <c r="AG149" s="61" t="s">
        <v>54</v>
      </c>
      <c r="AH149" s="91">
        <v>0</v>
      </c>
      <c r="AI149" s="91">
        <v>0.5</v>
      </c>
      <c r="AJ149" s="63"/>
      <c r="AL149" s="68"/>
      <c r="AM149" s="61"/>
      <c r="AN149" s="148" t="s">
        <v>47</v>
      </c>
      <c r="AO149" s="148"/>
      <c r="AP149" s="97">
        <f>VLOOKUP(E21,AP119:AQ125,2,FALSE)</f>
        <v>0</v>
      </c>
      <c r="AQ149" s="61"/>
      <c r="AR149" s="61"/>
      <c r="AS149" s="61"/>
      <c r="AT149" s="91"/>
      <c r="AU149" s="91"/>
      <c r="AV149" s="91"/>
      <c r="AW149" s="92"/>
      <c r="BB149" s="147" t="s">
        <v>773</v>
      </c>
      <c r="BC149" s="148"/>
      <c r="BD149" s="61"/>
      <c r="BE149" s="61"/>
      <c r="BF149" s="61"/>
      <c r="BG149" s="61"/>
      <c r="BH149" s="61"/>
      <c r="BI149" s="61"/>
      <c r="BJ149" s="61"/>
      <c r="BK149" s="80"/>
      <c r="BM149" s="76">
        <v>2.77</v>
      </c>
      <c r="BN149" s="75">
        <v>-1</v>
      </c>
      <c r="BO149" s="77">
        <v>3.1E-2</v>
      </c>
      <c r="BP149" s="75">
        <v>-0.45</v>
      </c>
      <c r="BQ149" s="109">
        <v>2.77</v>
      </c>
      <c r="BR149" s="75">
        <v>0</v>
      </c>
      <c r="BS149" s="77">
        <v>3.1E-2</v>
      </c>
      <c r="BT149" s="75">
        <v>0.27500000000000002</v>
      </c>
      <c r="BU149" s="61"/>
      <c r="BV149" s="80"/>
      <c r="BX149" s="133">
        <v>23</v>
      </c>
      <c r="BY149" s="133">
        <v>135</v>
      </c>
      <c r="BZ149" s="133">
        <v>200</v>
      </c>
      <c r="CA149" s="133">
        <v>55</v>
      </c>
      <c r="CB149" s="133" t="s">
        <v>208</v>
      </c>
      <c r="CC149" s="57" t="s">
        <v>59</v>
      </c>
      <c r="CD149" s="57">
        <v>16</v>
      </c>
      <c r="DM149" s="61"/>
      <c r="DN149" s="61"/>
      <c r="DO149" s="61"/>
      <c r="DP149" s="61"/>
      <c r="DQ149" s="61"/>
      <c r="DR149" s="61"/>
      <c r="DS149" s="61"/>
      <c r="DT149" s="61"/>
      <c r="DU149" s="61"/>
    </row>
    <row r="150" spans="17:125" x14ac:dyDescent="0.25">
      <c r="Q150" s="138">
        <f t="shared" si="5"/>
        <v>0.58220703125000028</v>
      </c>
      <c r="R150" s="138">
        <v>0.25</v>
      </c>
      <c r="S150" s="138">
        <f t="shared" si="6"/>
        <v>0.83220703125000028</v>
      </c>
      <c r="U150" s="147" t="s">
        <v>28</v>
      </c>
      <c r="V150" s="148"/>
      <c r="W150" s="130">
        <f>VLOOKUP(E13,U118:V148,2,FALSE)</f>
        <v>75</v>
      </c>
      <c r="X150" s="61"/>
      <c r="Y150" s="130">
        <v>-17</v>
      </c>
      <c r="Z150" s="64">
        <v>1</v>
      </c>
      <c r="AA150" s="99">
        <v>1</v>
      </c>
      <c r="AC150" s="147" t="s">
        <v>717</v>
      </c>
      <c r="AD150" s="148"/>
      <c r="AE150" s="133" t="b">
        <f>VLOOKUP(G13,BF31:BG32,2,FALSE)</f>
        <v>0</v>
      </c>
      <c r="AF150" s="130"/>
      <c r="AG150" s="61"/>
      <c r="AH150" s="91">
        <v>0.15</v>
      </c>
      <c r="AI150" s="91">
        <v>0.6</v>
      </c>
      <c r="AJ150" s="63"/>
      <c r="AL150" s="68"/>
      <c r="AM150" s="61"/>
      <c r="AN150" s="148" t="s">
        <v>720</v>
      </c>
      <c r="AO150" s="148"/>
      <c r="AP150" s="97">
        <f>((AP147*0.5)+(AP148*0.25)+(AP149*0.25))</f>
        <v>-2.5000000000000001E-2</v>
      </c>
      <c r="AQ150" s="61"/>
      <c r="AR150" s="148" t="s">
        <v>776</v>
      </c>
      <c r="AS150" s="148"/>
      <c r="AT150" s="61" t="s">
        <v>775</v>
      </c>
      <c r="AU150" s="61"/>
      <c r="AV150" s="61"/>
      <c r="AW150" s="80"/>
      <c r="BB150" s="114">
        <v>-0.5</v>
      </c>
      <c r="BC150" s="130">
        <f>IF(BD129&lt;0%,((BD131-((BD132-BD131)*ABS(BD129)))),((BD131+((BD131-BD132)*ABS(BD129)))))</f>
        <v>1.6875</v>
      </c>
      <c r="BD150" s="61"/>
      <c r="BE150" s="61"/>
      <c r="BF150" s="61"/>
      <c r="BG150" s="61"/>
      <c r="BH150" s="61"/>
      <c r="BI150" s="61"/>
      <c r="BJ150" s="61"/>
      <c r="BK150" s="80"/>
      <c r="BM150" s="76">
        <v>2.78</v>
      </c>
      <c r="BN150" s="75">
        <v>-1</v>
      </c>
      <c r="BO150" s="77">
        <v>3.2000000000000001E-2</v>
      </c>
      <c r="BP150" s="75">
        <v>-0.4</v>
      </c>
      <c r="BQ150" s="109">
        <v>2.78</v>
      </c>
      <c r="BR150" s="75">
        <v>0</v>
      </c>
      <c r="BS150" s="77">
        <v>3.2000000000000001E-2</v>
      </c>
      <c r="BT150" s="75">
        <v>0.3</v>
      </c>
      <c r="BU150" s="61"/>
      <c r="BV150" s="80"/>
      <c r="BX150" s="133">
        <v>23.5</v>
      </c>
      <c r="BY150" s="133">
        <v>140</v>
      </c>
      <c r="BZ150" s="133">
        <v>200</v>
      </c>
      <c r="CA150" s="133">
        <v>55</v>
      </c>
      <c r="CB150" s="133" t="s">
        <v>209</v>
      </c>
      <c r="CC150" s="57" t="s">
        <v>59</v>
      </c>
      <c r="CD150" s="57">
        <v>17</v>
      </c>
      <c r="DM150" s="61"/>
      <c r="DN150" s="61"/>
      <c r="DO150" s="61"/>
      <c r="DP150" s="61"/>
      <c r="DQ150" s="61"/>
      <c r="DR150" s="61"/>
      <c r="DS150" s="61"/>
      <c r="DT150" s="61"/>
      <c r="DU150" s="61"/>
    </row>
    <row r="151" spans="17:125" x14ac:dyDescent="0.25">
      <c r="Q151" s="138">
        <f t="shared" si="5"/>
        <v>0.45720703125000028</v>
      </c>
      <c r="R151" s="133">
        <v>0.375</v>
      </c>
      <c r="S151" s="138">
        <f t="shared" si="6"/>
        <v>0.83220703125000028</v>
      </c>
      <c r="U151" s="147" t="s">
        <v>29</v>
      </c>
      <c r="V151" s="148"/>
      <c r="W151" s="130">
        <f>VLOOKUP(E14,X118:Y138,2,FALSE)</f>
        <v>75</v>
      </c>
      <c r="X151" s="61"/>
      <c r="Y151" s="130">
        <v>-16</v>
      </c>
      <c r="Z151" s="64">
        <v>1</v>
      </c>
      <c r="AA151" s="99">
        <v>1</v>
      </c>
      <c r="AC151" s="147" t="s">
        <v>753</v>
      </c>
      <c r="AD151" s="148"/>
      <c r="AE151" s="133">
        <f>(3.375)</f>
        <v>3.375</v>
      </c>
      <c r="AF151" s="130"/>
      <c r="AG151" s="61"/>
      <c r="AH151" s="91">
        <v>0.3</v>
      </c>
      <c r="AI151" s="91">
        <v>0.7</v>
      </c>
      <c r="AJ151" s="63"/>
      <c r="AL151" s="68"/>
      <c r="AM151" s="61"/>
      <c r="AN151" s="148" t="s">
        <v>754</v>
      </c>
      <c r="AO151" s="148"/>
      <c r="AP151" s="64">
        <f>(BC119)</f>
        <v>-0.5</v>
      </c>
      <c r="AQ151" s="61"/>
      <c r="AR151" s="61" t="s">
        <v>724</v>
      </c>
      <c r="AS151" s="91">
        <v>0.95</v>
      </c>
      <c r="AT151" s="75">
        <v>0.95</v>
      </c>
      <c r="AU151" s="130"/>
      <c r="AV151" s="130"/>
      <c r="AW151" s="63"/>
      <c r="BB151" s="114">
        <v>0</v>
      </c>
      <c r="BC151" s="130">
        <f>IF(BD138=FALSE,((BD139+((BD140-BD139)*ABS(BD136)))),((BD139-((BD139-BD140)*ABS(BD136)))))</f>
        <v>4.21875</v>
      </c>
      <c r="BD151" s="61"/>
      <c r="BE151" s="61"/>
      <c r="BF151" s="61"/>
      <c r="BG151" s="61"/>
      <c r="BH151" s="61"/>
      <c r="BI151" s="61"/>
      <c r="BJ151" s="61"/>
      <c r="BK151" s="80"/>
      <c r="BM151" s="76">
        <v>2.79</v>
      </c>
      <c r="BN151" s="75">
        <v>-1</v>
      </c>
      <c r="BO151" s="77">
        <v>3.3000000000000002E-2</v>
      </c>
      <c r="BP151" s="75">
        <v>-0.35</v>
      </c>
      <c r="BQ151" s="109">
        <v>2.79</v>
      </c>
      <c r="BR151" s="75">
        <v>0</v>
      </c>
      <c r="BS151" s="77">
        <v>3.3000000000000002E-2</v>
      </c>
      <c r="BT151" s="75">
        <v>0.32500000000000001</v>
      </c>
      <c r="BU151" s="61"/>
      <c r="BV151" s="80"/>
      <c r="BX151" s="133">
        <v>24</v>
      </c>
      <c r="BY151" s="133">
        <v>145</v>
      </c>
      <c r="BZ151" s="133">
        <v>200</v>
      </c>
      <c r="CA151" s="133">
        <v>55</v>
      </c>
      <c r="CB151" s="133" t="s">
        <v>210</v>
      </c>
      <c r="CC151" s="57" t="s">
        <v>59</v>
      </c>
      <c r="CD151" s="57">
        <v>18</v>
      </c>
      <c r="DM151" s="61"/>
      <c r="DN151" s="61"/>
      <c r="DO151" s="61"/>
      <c r="DP151" s="61"/>
      <c r="DQ151" s="61"/>
      <c r="DR151" s="61"/>
      <c r="DS151" s="61"/>
      <c r="DT151" s="61"/>
      <c r="DU151" s="61"/>
    </row>
    <row r="152" spans="17:125" ht="15.75" thickBot="1" x14ac:dyDescent="0.3">
      <c r="Q152" s="138">
        <f t="shared" si="5"/>
        <v>0.33220703125000028</v>
      </c>
      <c r="R152" s="138">
        <v>0.5</v>
      </c>
      <c r="S152" s="138">
        <f t="shared" si="6"/>
        <v>0.83220703125000028</v>
      </c>
      <c r="U152" s="147" t="s">
        <v>30</v>
      </c>
      <c r="V152" s="148"/>
      <c r="W152" s="100">
        <f>(W150/W151)</f>
        <v>1</v>
      </c>
      <c r="X152" s="61"/>
      <c r="Y152" s="130">
        <v>-15</v>
      </c>
      <c r="Z152" s="64">
        <v>1</v>
      </c>
      <c r="AA152" s="99">
        <v>1</v>
      </c>
      <c r="AC152" s="147" t="s">
        <v>774</v>
      </c>
      <c r="AD152" s="148"/>
      <c r="AE152" s="115">
        <f>IF(AE150=FALSE,5.0625,1.6875)</f>
        <v>5.0625</v>
      </c>
      <c r="AF152" s="130"/>
      <c r="AG152" s="61"/>
      <c r="AH152" s="91">
        <v>0.45</v>
      </c>
      <c r="AI152" s="91">
        <v>0.8</v>
      </c>
      <c r="AJ152" s="63"/>
      <c r="AL152" s="68"/>
      <c r="AM152" s="61"/>
      <c r="AN152" s="148" t="s">
        <v>753</v>
      </c>
      <c r="AO152" s="148"/>
      <c r="AP152" s="130">
        <f>0+(3.375*ABS(AP151))</f>
        <v>1.6875</v>
      </c>
      <c r="AQ152" s="61"/>
      <c r="AR152" s="61"/>
      <c r="AS152" s="91">
        <v>-0.8</v>
      </c>
      <c r="AT152" s="75">
        <v>0.9</v>
      </c>
      <c r="AU152" s="61"/>
      <c r="AV152" s="61"/>
      <c r="AW152" s="80"/>
      <c r="BB152" s="116">
        <v>0.5</v>
      </c>
      <c r="BC152" s="132">
        <f>IF(BD129&lt;0%,((BD143+((BD144-BD143)*ABS(BD129)))),((BD143-((BD143-BD144)*ABS(BD129)))))</f>
        <v>5.0625</v>
      </c>
      <c r="BD152" s="95"/>
      <c r="BE152" s="95"/>
      <c r="BF152" s="95"/>
      <c r="BG152" s="95"/>
      <c r="BH152" s="95"/>
      <c r="BI152" s="95"/>
      <c r="BJ152" s="95"/>
      <c r="BK152" s="96"/>
      <c r="BM152" s="76">
        <v>2.8</v>
      </c>
      <c r="BN152" s="75">
        <v>-1</v>
      </c>
      <c r="BO152" s="77">
        <v>3.4000000000000002E-2</v>
      </c>
      <c r="BP152" s="75">
        <v>-0.3</v>
      </c>
      <c r="BQ152" s="109">
        <v>2.8</v>
      </c>
      <c r="BR152" s="75">
        <v>0</v>
      </c>
      <c r="BS152" s="77">
        <v>3.4000000000000002E-2</v>
      </c>
      <c r="BT152" s="75">
        <v>0.35</v>
      </c>
      <c r="BU152" s="61"/>
      <c r="BV152" s="80"/>
      <c r="BX152" s="133">
        <v>24.5</v>
      </c>
      <c r="BY152" s="133">
        <v>150</v>
      </c>
      <c r="BZ152" s="133">
        <v>200</v>
      </c>
      <c r="CA152" s="133">
        <v>55</v>
      </c>
      <c r="CB152" s="133" t="s">
        <v>211</v>
      </c>
      <c r="CC152" s="57" t="s">
        <v>59</v>
      </c>
      <c r="CD152" s="57">
        <v>19</v>
      </c>
      <c r="DM152" s="61"/>
      <c r="DN152" s="61"/>
      <c r="DO152" s="61"/>
      <c r="DP152" s="61"/>
      <c r="DQ152" s="61"/>
      <c r="DR152" s="61"/>
      <c r="DS152" s="61"/>
      <c r="DT152" s="61"/>
      <c r="DU152" s="61"/>
    </row>
    <row r="153" spans="17:125" x14ac:dyDescent="0.25">
      <c r="Q153" s="138">
        <f t="shared" si="5"/>
        <v>0.20720703125000028</v>
      </c>
      <c r="R153" s="133">
        <v>0.625</v>
      </c>
      <c r="S153" s="138">
        <f t="shared" si="6"/>
        <v>0.83220703125000028</v>
      </c>
      <c r="U153" s="147" t="s">
        <v>65</v>
      </c>
      <c r="V153" s="148"/>
      <c r="W153" s="130">
        <f>VLOOKUP(E13&amp;"|"&amp;E14,CB7:CD649,3,FALSE)</f>
        <v>0</v>
      </c>
      <c r="X153" s="61"/>
      <c r="Y153" s="130">
        <v>-14</v>
      </c>
      <c r="Z153" s="64">
        <v>1</v>
      </c>
      <c r="AA153" s="99">
        <v>1</v>
      </c>
      <c r="AC153" s="147" t="s">
        <v>770</v>
      </c>
      <c r="AD153" s="148"/>
      <c r="AE153" s="133">
        <f>IF(AE150=FALSE,((AE151+((AE152-AE151)*ABS(AE149)))),((AE151-((AE151-AE152)*ABS(AE149)))))</f>
        <v>3.375</v>
      </c>
      <c r="AF153" s="130"/>
      <c r="AG153" s="61" t="s">
        <v>31</v>
      </c>
      <c r="AH153" s="91">
        <v>0.6</v>
      </c>
      <c r="AI153" s="91">
        <v>0.9</v>
      </c>
      <c r="AJ153" s="63"/>
      <c r="AL153" s="68"/>
      <c r="AM153" s="61"/>
      <c r="AN153" s="148" t="s">
        <v>714</v>
      </c>
      <c r="AO153" s="148"/>
      <c r="AP153" s="130">
        <f>IF(AP150&gt;0%,0,3.375)</f>
        <v>3.375</v>
      </c>
      <c r="AQ153" s="61"/>
      <c r="AR153" s="61"/>
      <c r="AS153" s="91">
        <v>-0.7</v>
      </c>
      <c r="AT153" s="75">
        <v>0.85</v>
      </c>
      <c r="AU153" s="61"/>
      <c r="AV153" s="61"/>
      <c r="AW153" s="80"/>
      <c r="BM153" s="68"/>
      <c r="BN153" s="61"/>
      <c r="BO153" s="77">
        <v>3.5000000000000003E-2</v>
      </c>
      <c r="BP153" s="75">
        <v>-0.25</v>
      </c>
      <c r="BQ153" s="61"/>
      <c r="BR153" s="61"/>
      <c r="BS153" s="77">
        <v>3.5000000000000003E-2</v>
      </c>
      <c r="BT153" s="75">
        <v>0.375</v>
      </c>
      <c r="BU153" s="61"/>
      <c r="BV153" s="80"/>
      <c r="BX153" s="133">
        <v>25</v>
      </c>
      <c r="BY153" s="133">
        <v>155</v>
      </c>
      <c r="BZ153" s="133">
        <v>200</v>
      </c>
      <c r="CA153" s="133">
        <v>55</v>
      </c>
      <c r="CB153" s="133" t="s">
        <v>212</v>
      </c>
      <c r="CC153" s="57" t="s">
        <v>59</v>
      </c>
      <c r="CD153" s="57">
        <v>20</v>
      </c>
      <c r="DM153" s="61"/>
      <c r="DN153" s="61"/>
      <c r="DO153" s="61"/>
      <c r="DP153" s="61"/>
      <c r="DQ153" s="61"/>
      <c r="DR153" s="61"/>
      <c r="DS153" s="61"/>
      <c r="DT153" s="61"/>
      <c r="DU153" s="61"/>
    </row>
    <row r="154" spans="17:125" x14ac:dyDescent="0.25">
      <c r="Q154" s="138">
        <f t="shared" si="5"/>
        <v>8.2207031250000284E-2</v>
      </c>
      <c r="R154" s="138">
        <v>0.75</v>
      </c>
      <c r="S154" s="138">
        <f t="shared" si="6"/>
        <v>0.83220703125000028</v>
      </c>
      <c r="U154" s="147" t="s">
        <v>710</v>
      </c>
      <c r="V154" s="148"/>
      <c r="W154" s="64">
        <f>VLOOKUP(W153,Y141:Z191,2,FALSE)</f>
        <v>0</v>
      </c>
      <c r="X154" s="61"/>
      <c r="Y154" s="130">
        <v>-13</v>
      </c>
      <c r="Z154" s="64">
        <v>0.97499999999999998</v>
      </c>
      <c r="AA154" s="99">
        <v>1</v>
      </c>
      <c r="AC154" s="147" t="s">
        <v>754</v>
      </c>
      <c r="AD154" s="148"/>
      <c r="AE154" s="67">
        <f>(BC121)</f>
        <v>0.5</v>
      </c>
      <c r="AF154" s="130"/>
      <c r="AG154" s="61"/>
      <c r="AH154" s="91">
        <v>0.75</v>
      </c>
      <c r="AI154" s="91">
        <v>1</v>
      </c>
      <c r="AJ154" s="63"/>
      <c r="AL154" s="68"/>
      <c r="AM154" s="61"/>
      <c r="AN154" s="148" t="s">
        <v>772</v>
      </c>
      <c r="AO154" s="148"/>
      <c r="AP154" s="130">
        <f>IF(AP150&lt;0%,((AP152+((AP153-AP152)*ABS(AP150)))),((AP152-((AP152-AP153)*ABS(AP150)))))</f>
        <v>1.7296875</v>
      </c>
      <c r="AQ154" s="61"/>
      <c r="AR154" s="61"/>
      <c r="AS154" s="91">
        <v>-0.6</v>
      </c>
      <c r="AT154" s="75">
        <v>0.8</v>
      </c>
      <c r="AU154" s="61"/>
      <c r="AV154" s="61"/>
      <c r="AW154" s="80"/>
      <c r="BM154" s="68"/>
      <c r="BN154" s="61"/>
      <c r="BO154" s="77">
        <v>3.5999999999999997E-2</v>
      </c>
      <c r="BP154" s="75">
        <v>-0.2</v>
      </c>
      <c r="BQ154" s="61"/>
      <c r="BR154" s="61"/>
      <c r="BS154" s="77">
        <v>3.5999999999999997E-2</v>
      </c>
      <c r="BT154" s="75">
        <v>0.4</v>
      </c>
      <c r="BU154" s="61"/>
      <c r="BV154" s="80"/>
      <c r="BX154" s="133">
        <v>10</v>
      </c>
      <c r="BY154" s="133">
        <v>5</v>
      </c>
      <c r="BZ154" s="133">
        <v>225</v>
      </c>
      <c r="CA154" s="133">
        <v>60</v>
      </c>
      <c r="CB154" s="133" t="s">
        <v>213</v>
      </c>
      <c r="CC154" s="57" t="s">
        <v>63</v>
      </c>
      <c r="CD154" s="57">
        <v>-11</v>
      </c>
      <c r="DM154" s="61"/>
      <c r="DN154" s="61"/>
      <c r="DO154" s="61"/>
      <c r="DP154" s="61"/>
      <c r="DQ154" s="61"/>
      <c r="DR154" s="61"/>
      <c r="DS154" s="61"/>
      <c r="DT154" s="61"/>
      <c r="DU154" s="61"/>
    </row>
    <row r="155" spans="17:125" x14ac:dyDescent="0.25">
      <c r="Q155" s="138">
        <f t="shared" si="5"/>
        <v>4.2792968749999716E-2</v>
      </c>
      <c r="R155" s="133">
        <v>0.875</v>
      </c>
      <c r="S155" s="138">
        <f t="shared" si="6"/>
        <v>0.83220703125000028</v>
      </c>
      <c r="U155" s="147" t="s">
        <v>754</v>
      </c>
      <c r="V155" s="148"/>
      <c r="W155" s="64">
        <f>(BC119)</f>
        <v>-0.5</v>
      </c>
      <c r="X155" s="61"/>
      <c r="Y155" s="130">
        <v>-12</v>
      </c>
      <c r="Z155" s="64">
        <v>0.9</v>
      </c>
      <c r="AA155" s="99">
        <v>1</v>
      </c>
      <c r="AC155" s="147" t="s">
        <v>753</v>
      </c>
      <c r="AD155" s="148"/>
      <c r="AE155" s="133">
        <f>6.75-(3.375*ABS(AE154))</f>
        <v>5.0625</v>
      </c>
      <c r="AF155" s="130"/>
      <c r="AG155" s="61"/>
      <c r="AH155" s="91">
        <v>0.9</v>
      </c>
      <c r="AI155" s="91">
        <v>1</v>
      </c>
      <c r="AJ155" s="63"/>
      <c r="AL155" s="68"/>
      <c r="AM155" s="61"/>
      <c r="AN155" s="148" t="s">
        <v>38</v>
      </c>
      <c r="AO155" s="148"/>
      <c r="AP155" s="64">
        <f>VLOOKUP(E19,AR119:AS144,2,FALSE)</f>
        <v>0.5</v>
      </c>
      <c r="AQ155" s="91"/>
      <c r="AR155" s="61" t="s">
        <v>722</v>
      </c>
      <c r="AS155" s="91">
        <v>-0.5</v>
      </c>
      <c r="AT155" s="75">
        <v>0.75</v>
      </c>
      <c r="AU155" s="61"/>
      <c r="AV155" s="61"/>
      <c r="AW155" s="80"/>
      <c r="BM155" s="68"/>
      <c r="BN155" s="61"/>
      <c r="BO155" s="77">
        <v>3.6999999999999998E-2</v>
      </c>
      <c r="BP155" s="75">
        <v>-0.15</v>
      </c>
      <c r="BQ155" s="61"/>
      <c r="BR155" s="61"/>
      <c r="BS155" s="77">
        <v>3.6999999999999998E-2</v>
      </c>
      <c r="BT155" s="75">
        <v>0.42499999999999999</v>
      </c>
      <c r="BU155" s="61"/>
      <c r="BV155" s="80"/>
      <c r="BX155" s="133">
        <v>10.5</v>
      </c>
      <c r="BY155" s="133">
        <v>10</v>
      </c>
      <c r="BZ155" s="133">
        <v>225</v>
      </c>
      <c r="CA155" s="133">
        <v>60</v>
      </c>
      <c r="CB155" s="133" t="s">
        <v>214</v>
      </c>
      <c r="CC155" s="57" t="s">
        <v>63</v>
      </c>
      <c r="CD155" s="57">
        <v>-10</v>
      </c>
      <c r="DM155" s="61"/>
      <c r="DN155" s="61"/>
      <c r="DO155" s="61"/>
      <c r="DP155" s="61"/>
      <c r="DQ155" s="61"/>
      <c r="DR155" s="61"/>
      <c r="DS155" s="61"/>
      <c r="DT155" s="61"/>
      <c r="DU155" s="61"/>
    </row>
    <row r="156" spans="17:125" x14ac:dyDescent="0.25">
      <c r="Q156" s="138">
        <f t="shared" si="5"/>
        <v>0.16779296874999972</v>
      </c>
      <c r="R156" s="138">
        <v>1</v>
      </c>
      <c r="S156" s="138">
        <f t="shared" si="6"/>
        <v>0.83220703125000028</v>
      </c>
      <c r="U156" s="147" t="s">
        <v>753</v>
      </c>
      <c r="V156" s="148"/>
      <c r="W156" s="130">
        <f>0+(3.375*ABS(W155))</f>
        <v>1.6875</v>
      </c>
      <c r="X156" s="61"/>
      <c r="Y156" s="130">
        <v>-11</v>
      </c>
      <c r="Z156" s="64">
        <v>0.82499999999999996</v>
      </c>
      <c r="AA156" s="99">
        <v>1</v>
      </c>
      <c r="AC156" s="147" t="s">
        <v>714</v>
      </c>
      <c r="AD156" s="148"/>
      <c r="AE156" s="115">
        <f>IF(AE141&gt;0%,6.75,3.375)</f>
        <v>3.375</v>
      </c>
      <c r="AF156" s="130"/>
      <c r="AG156" s="61"/>
      <c r="AH156" s="91">
        <v>1</v>
      </c>
      <c r="AI156" s="91">
        <v>1</v>
      </c>
      <c r="AJ156" s="63"/>
      <c r="AL156" s="129"/>
      <c r="AM156" s="61"/>
      <c r="AN156" s="148" t="s">
        <v>39</v>
      </c>
      <c r="AO156" s="148"/>
      <c r="AP156" s="64">
        <f>VLOOKUP(E20,AT119:AU139,2,FALSE)</f>
        <v>0.42499999999999999</v>
      </c>
      <c r="AQ156" s="61"/>
      <c r="AR156" s="61"/>
      <c r="AS156" s="91">
        <v>-0.4</v>
      </c>
      <c r="AT156" s="75">
        <v>0.7</v>
      </c>
      <c r="AU156" s="61"/>
      <c r="AV156" s="61"/>
      <c r="AW156" s="80"/>
      <c r="BM156" s="68"/>
      <c r="BN156" s="61"/>
      <c r="BO156" s="77">
        <v>3.7999999999999999E-2</v>
      </c>
      <c r="BP156" s="75">
        <v>-0.1</v>
      </c>
      <c r="BQ156" s="61"/>
      <c r="BR156" s="61"/>
      <c r="BS156" s="77">
        <v>3.7999999999999999E-2</v>
      </c>
      <c r="BT156" s="75">
        <v>0.45</v>
      </c>
      <c r="BU156" s="61"/>
      <c r="BV156" s="80"/>
      <c r="BX156" s="133">
        <v>11</v>
      </c>
      <c r="BY156" s="133">
        <v>15</v>
      </c>
      <c r="BZ156" s="133">
        <v>225</v>
      </c>
      <c r="CA156" s="133">
        <v>60</v>
      </c>
      <c r="CB156" s="133" t="s">
        <v>215</v>
      </c>
      <c r="CC156" s="57" t="s">
        <v>62</v>
      </c>
      <c r="CD156" s="57">
        <v>-9</v>
      </c>
      <c r="DM156" s="61"/>
      <c r="DN156" s="61"/>
      <c r="DO156" s="61"/>
      <c r="DP156" s="61"/>
      <c r="DQ156" s="61"/>
      <c r="DR156" s="61"/>
      <c r="DS156" s="61"/>
      <c r="DT156" s="61"/>
      <c r="DU156" s="61"/>
    </row>
    <row r="157" spans="17:125" x14ac:dyDescent="0.25">
      <c r="Q157" s="138">
        <f>MIN(Q148:Q156)</f>
        <v>4.2792968749999716E-2</v>
      </c>
      <c r="R157" s="133"/>
      <c r="S157" s="133"/>
      <c r="U157" s="147" t="s">
        <v>714</v>
      </c>
      <c r="V157" s="148"/>
      <c r="W157" s="130">
        <f>IF(W154&gt;0%,0,3.375)</f>
        <v>3.375</v>
      </c>
      <c r="X157" s="61"/>
      <c r="Y157" s="130">
        <v>-10</v>
      </c>
      <c r="Z157" s="64">
        <v>0.75</v>
      </c>
      <c r="AA157" s="99">
        <v>1</v>
      </c>
      <c r="AC157" s="147" t="s">
        <v>771</v>
      </c>
      <c r="AD157" s="148"/>
      <c r="AE157" s="133">
        <f>IF(AE141&lt;0%,((AE155-((AE155-AE156)*ABS(AE141)))),((AE155+((AE156-AE155)*ABS(AE141)))))</f>
        <v>4.8600000000000003</v>
      </c>
      <c r="AF157" s="130"/>
      <c r="AG157" s="61" t="s">
        <v>3</v>
      </c>
      <c r="AH157" s="91">
        <v>1</v>
      </c>
      <c r="AI157" s="91">
        <v>1</v>
      </c>
      <c r="AJ157" s="63"/>
      <c r="AL157" s="129"/>
      <c r="AM157" s="61"/>
      <c r="AN157" s="148" t="s">
        <v>47</v>
      </c>
      <c r="AO157" s="148"/>
      <c r="AP157" s="64">
        <f>VLOOKUP(E21,AV119:AW125,2,FALSE)</f>
        <v>0.5</v>
      </c>
      <c r="AQ157" s="61"/>
      <c r="AR157" s="61"/>
      <c r="AS157" s="91">
        <v>-0.3</v>
      </c>
      <c r="AT157" s="75">
        <v>0.65</v>
      </c>
      <c r="AU157" s="61"/>
      <c r="AV157" s="61"/>
      <c r="AW157" s="80"/>
      <c r="BM157" s="68"/>
      <c r="BN157" s="61"/>
      <c r="BO157" s="77">
        <v>3.9E-2</v>
      </c>
      <c r="BP157" s="75">
        <v>-0.05</v>
      </c>
      <c r="BQ157" s="61"/>
      <c r="BR157" s="61"/>
      <c r="BS157" s="77">
        <v>3.9E-2</v>
      </c>
      <c r="BT157" s="75">
        <v>0.47499999999999998</v>
      </c>
      <c r="BU157" s="61"/>
      <c r="BV157" s="80"/>
      <c r="BX157" s="133">
        <v>11.5</v>
      </c>
      <c r="BY157" s="133">
        <v>20</v>
      </c>
      <c r="BZ157" s="133">
        <v>225</v>
      </c>
      <c r="CA157" s="133">
        <v>60</v>
      </c>
      <c r="CB157" s="133" t="s">
        <v>216</v>
      </c>
      <c r="CC157" s="57" t="s">
        <v>62</v>
      </c>
      <c r="CD157" s="57">
        <v>-8</v>
      </c>
      <c r="DM157" s="61"/>
      <c r="DN157" s="61"/>
      <c r="DO157" s="61"/>
      <c r="DP157" s="61"/>
      <c r="DQ157" s="61"/>
      <c r="DR157" s="61"/>
      <c r="DS157" s="61"/>
      <c r="DT157" s="61"/>
      <c r="DU157" s="61"/>
    </row>
    <row r="158" spans="17:125" x14ac:dyDescent="0.25">
      <c r="Q158" s="133" t="s">
        <v>749</v>
      </c>
      <c r="R158" s="133"/>
      <c r="S158" s="133"/>
      <c r="U158" s="147" t="s">
        <v>772</v>
      </c>
      <c r="V158" s="148"/>
      <c r="W158" s="130">
        <f>IF(W154&gt;0%,((W156-((W156-W157)*ABS(W154)))),((W156+((W157-W156)*ABS(W154)))))</f>
        <v>1.6875</v>
      </c>
      <c r="X158" s="130"/>
      <c r="Y158" s="130">
        <v>-9</v>
      </c>
      <c r="Z158" s="64">
        <v>0.67500000000000004</v>
      </c>
      <c r="AA158" s="99">
        <v>1</v>
      </c>
      <c r="AC158" s="147" t="s">
        <v>754</v>
      </c>
      <c r="AD158" s="148"/>
      <c r="AE158" s="112">
        <f>VLOOKUP(G15,BB119:BC121,2,FALSE)</f>
        <v>0</v>
      </c>
      <c r="AF158" s="130"/>
      <c r="AG158" s="130"/>
      <c r="AH158" s="130"/>
      <c r="AI158" s="130"/>
      <c r="AJ158" s="63"/>
      <c r="AL158" s="129"/>
      <c r="AM158" s="61"/>
      <c r="AN158" s="148" t="s">
        <v>720</v>
      </c>
      <c r="AO158" s="148"/>
      <c r="AP158" s="64">
        <f>((AP155*0.5)+(AP156*0.25)+(AP157*0.25))</f>
        <v>0.48125000000000001</v>
      </c>
      <c r="AQ158" s="61"/>
      <c r="AR158" s="61"/>
      <c r="AS158" s="91">
        <v>-0.2</v>
      </c>
      <c r="AT158" s="75">
        <v>0.6</v>
      </c>
      <c r="AU158" s="61"/>
      <c r="AV158" s="61"/>
      <c r="AW158" s="80"/>
      <c r="BM158" s="68"/>
      <c r="BN158" s="61"/>
      <c r="BO158" s="77">
        <v>0.04</v>
      </c>
      <c r="BP158" s="75">
        <v>0</v>
      </c>
      <c r="BQ158" s="61"/>
      <c r="BR158" s="61"/>
      <c r="BS158" s="77">
        <v>0.04</v>
      </c>
      <c r="BT158" s="75">
        <v>0.5</v>
      </c>
      <c r="BU158" s="61"/>
      <c r="BV158" s="80"/>
      <c r="BX158" s="133">
        <v>12</v>
      </c>
      <c r="BY158" s="133">
        <v>25</v>
      </c>
      <c r="BZ158" s="133">
        <v>225</v>
      </c>
      <c r="CA158" s="133">
        <v>60</v>
      </c>
      <c r="CB158" s="133" t="s">
        <v>217</v>
      </c>
      <c r="CC158" s="57" t="s">
        <v>62</v>
      </c>
      <c r="CD158" s="57">
        <v>-7</v>
      </c>
    </row>
    <row r="159" spans="17:125" x14ac:dyDescent="0.25">
      <c r="U159" s="147" t="s">
        <v>710</v>
      </c>
      <c r="V159" s="148"/>
      <c r="W159" s="65">
        <f>VLOOKUP(W153,Y141:AA191,3,FALSE)</f>
        <v>0.5</v>
      </c>
      <c r="X159" s="61" t="s">
        <v>62</v>
      </c>
      <c r="Y159" s="130">
        <v>-8</v>
      </c>
      <c r="Z159" s="64">
        <v>0.6</v>
      </c>
      <c r="AA159" s="99">
        <v>1</v>
      </c>
      <c r="AC159" s="147" t="s">
        <v>741</v>
      </c>
      <c r="AD159" s="148"/>
      <c r="AE159" s="133">
        <f>VLOOKUP(AE158,AC162:AD164,2,FALSE)</f>
        <v>3.375</v>
      </c>
      <c r="AF159" s="130"/>
      <c r="AG159" s="130"/>
      <c r="AH159" s="130"/>
      <c r="AI159" s="130"/>
      <c r="AJ159" s="63"/>
      <c r="AL159" s="129"/>
      <c r="AM159" s="61"/>
      <c r="AN159" s="148" t="s">
        <v>754</v>
      </c>
      <c r="AO159" s="148"/>
      <c r="AP159" s="64">
        <f>(BC120)</f>
        <v>0</v>
      </c>
      <c r="AQ159" s="61"/>
      <c r="AR159" s="61"/>
      <c r="AS159" s="91">
        <v>-0.1</v>
      </c>
      <c r="AT159" s="75">
        <v>0.55000000000000004</v>
      </c>
      <c r="AU159" s="61"/>
      <c r="AV159" s="61"/>
      <c r="AW159" s="80"/>
      <c r="BM159" s="68"/>
      <c r="BN159" s="61"/>
      <c r="BO159" s="77">
        <v>4.1000000000000002E-2</v>
      </c>
      <c r="BP159" s="75">
        <v>2.5000000000000001E-2</v>
      </c>
      <c r="BQ159" s="61"/>
      <c r="BR159" s="61"/>
      <c r="BS159" s="77">
        <v>4.1000000000000002E-2</v>
      </c>
      <c r="BT159" s="75">
        <v>0.52500000000000002</v>
      </c>
      <c r="BU159" s="61"/>
      <c r="BV159" s="80"/>
      <c r="BX159" s="133">
        <v>12.5</v>
      </c>
      <c r="BY159" s="133">
        <v>30</v>
      </c>
      <c r="BZ159" s="133">
        <v>225</v>
      </c>
      <c r="CA159" s="133">
        <v>60</v>
      </c>
      <c r="CB159" s="133" t="s">
        <v>218</v>
      </c>
      <c r="CC159" s="57" t="s">
        <v>61</v>
      </c>
      <c r="CD159" s="57">
        <v>-6</v>
      </c>
    </row>
    <row r="160" spans="17:125" x14ac:dyDescent="0.25">
      <c r="U160" s="147" t="s">
        <v>754</v>
      </c>
      <c r="V160" s="148"/>
      <c r="W160" s="65">
        <f>(BC120)</f>
        <v>0</v>
      </c>
      <c r="X160" s="130"/>
      <c r="Y160" s="130">
        <v>-7</v>
      </c>
      <c r="Z160" s="64">
        <v>0.52500000000000002</v>
      </c>
      <c r="AA160" s="99">
        <v>1</v>
      </c>
      <c r="AC160" s="147"/>
      <c r="AD160" s="148"/>
      <c r="AE160" s="104"/>
      <c r="AF160" s="130"/>
      <c r="AG160" s="130"/>
      <c r="AH160" s="130"/>
      <c r="AI160" s="130"/>
      <c r="AJ160" s="63"/>
      <c r="AL160" s="129"/>
      <c r="AM160" s="61"/>
      <c r="AN160" s="148" t="s">
        <v>717</v>
      </c>
      <c r="AO160" s="148"/>
      <c r="AP160" s="130" t="b">
        <f>VLOOKUP(G13,BF31:BG32,2,FALSE)</f>
        <v>0</v>
      </c>
      <c r="AQ160" s="61"/>
      <c r="AR160" s="61" t="s">
        <v>755</v>
      </c>
      <c r="AS160" s="91">
        <v>0</v>
      </c>
      <c r="AT160" s="75">
        <v>0.5</v>
      </c>
      <c r="AU160" s="61"/>
      <c r="AV160" s="61"/>
      <c r="AW160" s="80"/>
      <c r="BM160" s="68"/>
      <c r="BN160" s="61"/>
      <c r="BO160" s="77">
        <v>4.2000000000000003E-2</v>
      </c>
      <c r="BP160" s="75">
        <v>0.05</v>
      </c>
      <c r="BQ160" s="61"/>
      <c r="BR160" s="61"/>
      <c r="BS160" s="77">
        <v>4.2000000000000003E-2</v>
      </c>
      <c r="BT160" s="75">
        <v>0.55000000000000004</v>
      </c>
      <c r="BU160" s="61"/>
      <c r="BV160" s="80"/>
      <c r="BX160" s="133">
        <v>13</v>
      </c>
      <c r="BY160" s="133">
        <v>35</v>
      </c>
      <c r="BZ160" s="133">
        <v>225</v>
      </c>
      <c r="CA160" s="133">
        <v>60</v>
      </c>
      <c r="CB160" s="133" t="s">
        <v>219</v>
      </c>
      <c r="CC160" s="57" t="s">
        <v>61</v>
      </c>
      <c r="CD160" s="57">
        <v>-5</v>
      </c>
    </row>
    <row r="161" spans="21:82" x14ac:dyDescent="0.25">
      <c r="U161" s="147" t="s">
        <v>717</v>
      </c>
      <c r="V161" s="148"/>
      <c r="W161" s="130" t="b">
        <f>VLOOKUP(G13,BF31:BG32,2,FALSE)</f>
        <v>0</v>
      </c>
      <c r="X161" s="130"/>
      <c r="Y161" s="130">
        <v>-6</v>
      </c>
      <c r="Z161" s="64">
        <v>0.45</v>
      </c>
      <c r="AA161" s="99">
        <v>1</v>
      </c>
      <c r="AC161" s="147" t="s">
        <v>773</v>
      </c>
      <c r="AD161" s="148"/>
      <c r="AE161" s="104"/>
      <c r="AF161" s="130"/>
      <c r="AG161" s="130"/>
      <c r="AH161" s="130"/>
      <c r="AI161" s="130"/>
      <c r="AJ161" s="63"/>
      <c r="AL161" s="129"/>
      <c r="AM161" s="61"/>
      <c r="AN161" s="148" t="s">
        <v>753</v>
      </c>
      <c r="AO161" s="148"/>
      <c r="AP161" s="130">
        <f>(3.375)</f>
        <v>3.375</v>
      </c>
      <c r="AQ161" s="61"/>
      <c r="AR161" s="61"/>
      <c r="AS161" s="91">
        <v>0.1</v>
      </c>
      <c r="AT161" s="75">
        <v>0.45</v>
      </c>
      <c r="AU161" s="61"/>
      <c r="AV161" s="61"/>
      <c r="AW161" s="80"/>
      <c r="BM161" s="68"/>
      <c r="BN161" s="61"/>
      <c r="BO161" s="77">
        <v>4.2999999999999997E-2</v>
      </c>
      <c r="BP161" s="75">
        <v>7.4999999999999997E-2</v>
      </c>
      <c r="BQ161" s="61"/>
      <c r="BR161" s="61"/>
      <c r="BS161" s="77">
        <v>4.2999999999999997E-2</v>
      </c>
      <c r="BT161" s="75">
        <v>0.57499999999999996</v>
      </c>
      <c r="BU161" s="61"/>
      <c r="BV161" s="80"/>
      <c r="BX161" s="133">
        <v>13.5</v>
      </c>
      <c r="BY161" s="133">
        <v>40</v>
      </c>
      <c r="BZ161" s="133">
        <v>225</v>
      </c>
      <c r="CA161" s="133">
        <v>60</v>
      </c>
      <c r="CB161" s="133" t="s">
        <v>220</v>
      </c>
      <c r="CC161" s="57" t="s">
        <v>61</v>
      </c>
      <c r="CD161" s="57">
        <v>-4</v>
      </c>
    </row>
    <row r="162" spans="21:82" x14ac:dyDescent="0.25">
      <c r="U162" s="147" t="s">
        <v>753</v>
      </c>
      <c r="V162" s="148"/>
      <c r="W162" s="130">
        <f>(3.375)</f>
        <v>3.375</v>
      </c>
      <c r="X162" s="130"/>
      <c r="Y162" s="130">
        <v>-5</v>
      </c>
      <c r="Z162" s="64">
        <v>0.375</v>
      </c>
      <c r="AA162" s="99">
        <v>0.9</v>
      </c>
      <c r="AC162" s="114">
        <v>-0.5</v>
      </c>
      <c r="AD162" s="130">
        <f>IF(AE141&lt;0%,((AE143+((AE144-AE143)*ABS(AE141)))),((AE143-((AE143-AE144)*ABS(AE141)))))</f>
        <v>1.89</v>
      </c>
      <c r="AE162" s="117"/>
      <c r="AF162" s="130"/>
      <c r="AG162" s="130"/>
      <c r="AH162" s="130"/>
      <c r="AI162" s="130"/>
      <c r="AJ162" s="63"/>
      <c r="AL162" s="129"/>
      <c r="AM162" s="61"/>
      <c r="AN162" s="148" t="s">
        <v>774</v>
      </c>
      <c r="AO162" s="148"/>
      <c r="AP162" s="130">
        <f>IF(AP160=FALSE,5.0625,1.6875)</f>
        <v>5.0625</v>
      </c>
      <c r="AQ162" s="61"/>
      <c r="AR162" s="61"/>
      <c r="AS162" s="91">
        <v>0.2</v>
      </c>
      <c r="AT162" s="75">
        <v>0.4</v>
      </c>
      <c r="AU162" s="61"/>
      <c r="AV162" s="61"/>
      <c r="AW162" s="80"/>
      <c r="BM162" s="68"/>
      <c r="BN162" s="61"/>
      <c r="BO162" s="77">
        <v>4.3999999999999997E-2</v>
      </c>
      <c r="BP162" s="75">
        <v>0.1</v>
      </c>
      <c r="BQ162" s="61"/>
      <c r="BR162" s="61"/>
      <c r="BS162" s="77">
        <v>4.3999999999999997E-2</v>
      </c>
      <c r="BT162" s="75">
        <v>0.6</v>
      </c>
      <c r="BU162" s="61"/>
      <c r="BV162" s="80"/>
      <c r="BX162" s="133">
        <v>14</v>
      </c>
      <c r="BY162" s="133">
        <v>45</v>
      </c>
      <c r="BZ162" s="133">
        <v>225</v>
      </c>
      <c r="CA162" s="133">
        <v>60</v>
      </c>
      <c r="CB162" s="133" t="s">
        <v>221</v>
      </c>
      <c r="CC162" s="57" t="s">
        <v>60</v>
      </c>
      <c r="CD162" s="57">
        <v>-3</v>
      </c>
    </row>
    <row r="163" spans="21:82" x14ac:dyDescent="0.25">
      <c r="U163" s="147" t="s">
        <v>774</v>
      </c>
      <c r="V163" s="148"/>
      <c r="W163" s="130">
        <f>IF(W161=FALSE,5.0625,1.6875)</f>
        <v>5.0625</v>
      </c>
      <c r="X163" s="61" t="s">
        <v>718</v>
      </c>
      <c r="Y163" s="130">
        <v>-4</v>
      </c>
      <c r="Z163" s="64">
        <v>0.3</v>
      </c>
      <c r="AA163" s="99">
        <v>0.8</v>
      </c>
      <c r="AC163" s="114">
        <v>0</v>
      </c>
      <c r="AD163" s="130">
        <f>IF(AE150=FALSE,((AE151+((AE152-AE151)*ABS(AE149)))),((AE151-((AE151-AE152)*ABS(AE149)))))</f>
        <v>3.375</v>
      </c>
      <c r="AE163" s="130"/>
      <c r="AF163" s="130"/>
      <c r="AG163" s="130"/>
      <c r="AH163" s="130"/>
      <c r="AI163" s="130"/>
      <c r="AJ163" s="63"/>
      <c r="AL163" s="129"/>
      <c r="AM163" s="61"/>
      <c r="AN163" s="148" t="s">
        <v>770</v>
      </c>
      <c r="AO163" s="148"/>
      <c r="AP163" s="130">
        <f>IF(AP160=FALSE,((AP161+((AP162-AP161)*ABS(AP158)))),((AP161-((AP161-AP162)*ABS(AP158)))))</f>
        <v>4.1871093750000004</v>
      </c>
      <c r="AQ163" s="61"/>
      <c r="AR163" s="61"/>
      <c r="AS163" s="91">
        <v>0.3</v>
      </c>
      <c r="AT163" s="75">
        <v>0.35</v>
      </c>
      <c r="AU163" s="61"/>
      <c r="AV163" s="61"/>
      <c r="AW163" s="80"/>
      <c r="BM163" s="68"/>
      <c r="BN163" s="61"/>
      <c r="BO163" s="77">
        <v>4.4999999999999998E-2</v>
      </c>
      <c r="BP163" s="75">
        <v>0.125</v>
      </c>
      <c r="BQ163" s="61"/>
      <c r="BR163" s="61"/>
      <c r="BS163" s="77">
        <v>4.4999999999999998E-2</v>
      </c>
      <c r="BT163" s="75">
        <v>0.625</v>
      </c>
      <c r="BU163" s="61"/>
      <c r="BV163" s="80"/>
      <c r="BX163" s="133">
        <v>14.5</v>
      </c>
      <c r="BY163" s="133">
        <v>50</v>
      </c>
      <c r="BZ163" s="133">
        <v>225</v>
      </c>
      <c r="CA163" s="133">
        <v>60</v>
      </c>
      <c r="CB163" s="133" t="s">
        <v>222</v>
      </c>
      <c r="CC163" s="57" t="s">
        <v>60</v>
      </c>
      <c r="CD163" s="57">
        <v>-2</v>
      </c>
    </row>
    <row r="164" spans="21:82" x14ac:dyDescent="0.25">
      <c r="U164" s="147" t="s">
        <v>770</v>
      </c>
      <c r="V164" s="148"/>
      <c r="W164" s="130">
        <f>IF(W161=FALSE,((W162+((W163-W162)*ABS(W159)))),((W162-((W162-W163)*ABS(W159)))))</f>
        <v>4.21875</v>
      </c>
      <c r="X164" s="130"/>
      <c r="Y164" s="130">
        <v>-3</v>
      </c>
      <c r="Z164" s="64">
        <v>0.22500000000000001</v>
      </c>
      <c r="AA164" s="99">
        <v>0.7</v>
      </c>
      <c r="AC164" s="114">
        <v>0.5</v>
      </c>
      <c r="AD164" s="130">
        <f>IF(AE141&lt;0%,((AE155-((AE155-AE156)*ABS(AE141)))),((AE155+((AE156-AE155)*ABS(AE141)))))</f>
        <v>4.8600000000000003</v>
      </c>
      <c r="AE164" s="130"/>
      <c r="AF164" s="130"/>
      <c r="AG164" s="130"/>
      <c r="AH164" s="130"/>
      <c r="AI164" s="130"/>
      <c r="AJ164" s="63"/>
      <c r="AL164" s="129"/>
      <c r="AM164" s="61"/>
      <c r="AN164" s="148" t="s">
        <v>754</v>
      </c>
      <c r="AO164" s="148"/>
      <c r="AP164" s="65">
        <f>(BC121)</f>
        <v>0.5</v>
      </c>
      <c r="AQ164" s="61"/>
      <c r="AR164" s="61" t="s">
        <v>723</v>
      </c>
      <c r="AS164" s="91">
        <v>0.4</v>
      </c>
      <c r="AT164" s="75">
        <v>0.3</v>
      </c>
      <c r="AU164" s="61"/>
      <c r="AV164" s="61"/>
      <c r="AW164" s="80"/>
      <c r="BM164" s="68"/>
      <c r="BN164" s="61"/>
      <c r="BO164" s="77">
        <v>4.5999999999999999E-2</v>
      </c>
      <c r="BP164" s="75">
        <v>0.15</v>
      </c>
      <c r="BQ164" s="61"/>
      <c r="BR164" s="61"/>
      <c r="BS164" s="77">
        <v>4.5999999999999999E-2</v>
      </c>
      <c r="BT164" s="75">
        <v>0.65</v>
      </c>
      <c r="BU164" s="61"/>
      <c r="BV164" s="80"/>
      <c r="BX164" s="133">
        <v>15</v>
      </c>
      <c r="BY164" s="133">
        <v>55</v>
      </c>
      <c r="BZ164" s="133">
        <v>225</v>
      </c>
      <c r="CA164" s="133">
        <v>60</v>
      </c>
      <c r="CB164" s="133" t="s">
        <v>223</v>
      </c>
      <c r="CC164" s="57" t="s">
        <v>60</v>
      </c>
      <c r="CD164" s="57">
        <v>-1</v>
      </c>
    </row>
    <row r="165" spans="21:82" ht="15.75" thickBot="1" x14ac:dyDescent="0.3">
      <c r="U165" s="147" t="s">
        <v>754</v>
      </c>
      <c r="V165" s="148"/>
      <c r="W165" s="64">
        <f>(BC121)</f>
        <v>0.5</v>
      </c>
      <c r="X165" s="130"/>
      <c r="Y165" s="130">
        <v>-2</v>
      </c>
      <c r="Z165" s="64">
        <v>0.15</v>
      </c>
      <c r="AA165" s="99">
        <v>0.6</v>
      </c>
      <c r="AC165" s="131"/>
      <c r="AD165" s="132"/>
      <c r="AE165" s="132"/>
      <c r="AF165" s="132"/>
      <c r="AG165" s="132"/>
      <c r="AH165" s="132"/>
      <c r="AI165" s="132"/>
      <c r="AJ165" s="118"/>
      <c r="AL165" s="129"/>
      <c r="AM165" s="61"/>
      <c r="AN165" s="148" t="s">
        <v>753</v>
      </c>
      <c r="AO165" s="148"/>
      <c r="AP165" s="130">
        <f>6.75-(3.375*ABS(AP164))</f>
        <v>5.0625</v>
      </c>
      <c r="AQ165" s="61"/>
      <c r="AR165" s="61"/>
      <c r="AS165" s="91">
        <v>0.5</v>
      </c>
      <c r="AT165" s="75">
        <v>0.25</v>
      </c>
      <c r="AU165" s="61"/>
      <c r="AV165" s="61"/>
      <c r="AW165" s="80"/>
      <c r="BM165" s="68"/>
      <c r="BN165" s="61"/>
      <c r="BO165" s="77">
        <v>4.7E-2</v>
      </c>
      <c r="BP165" s="75">
        <v>0.17499999999999999</v>
      </c>
      <c r="BQ165" s="61"/>
      <c r="BR165" s="61"/>
      <c r="BS165" s="77">
        <v>4.7E-2</v>
      </c>
      <c r="BT165" s="75">
        <v>0.67500000000000004</v>
      </c>
      <c r="BU165" s="61"/>
      <c r="BV165" s="80"/>
      <c r="BX165" s="133">
        <v>15.5</v>
      </c>
      <c r="BY165" s="133">
        <v>60</v>
      </c>
      <c r="BZ165" s="133">
        <v>225</v>
      </c>
      <c r="CA165" s="133">
        <v>60</v>
      </c>
      <c r="CB165" s="133" t="s">
        <v>224</v>
      </c>
      <c r="CC165" s="57" t="s">
        <v>54</v>
      </c>
      <c r="CD165" s="57">
        <v>0</v>
      </c>
    </row>
    <row r="166" spans="21:82" x14ac:dyDescent="0.25">
      <c r="U166" s="147" t="s">
        <v>753</v>
      </c>
      <c r="V166" s="148"/>
      <c r="W166" s="130">
        <f>6.75-(3.375*ABS(W165))</f>
        <v>5.0625</v>
      </c>
      <c r="X166" s="130"/>
      <c r="Y166" s="130">
        <v>-1</v>
      </c>
      <c r="Z166" s="64">
        <v>7.4999999999999997E-2</v>
      </c>
      <c r="AA166" s="99">
        <v>0.5</v>
      </c>
      <c r="AL166" s="129"/>
      <c r="AM166" s="61"/>
      <c r="AN166" s="148" t="s">
        <v>714</v>
      </c>
      <c r="AO166" s="148"/>
      <c r="AP166" s="130">
        <f>IF(AP150&gt;0%,6.75,3.375)</f>
        <v>3.375</v>
      </c>
      <c r="AQ166" s="61"/>
      <c r="AR166" s="61"/>
      <c r="AS166" s="91">
        <v>0.6</v>
      </c>
      <c r="AT166" s="75">
        <v>0.2</v>
      </c>
      <c r="AU166" s="61"/>
      <c r="AV166" s="61"/>
      <c r="AW166" s="80"/>
      <c r="BM166" s="68"/>
      <c r="BN166" s="61"/>
      <c r="BO166" s="77">
        <v>4.8000000000000001E-2</v>
      </c>
      <c r="BP166" s="75">
        <v>0.2</v>
      </c>
      <c r="BQ166" s="61"/>
      <c r="BR166" s="61"/>
      <c r="BS166" s="77">
        <v>4.8000000000000001E-2</v>
      </c>
      <c r="BT166" s="75">
        <v>0.7</v>
      </c>
      <c r="BU166" s="61"/>
      <c r="BV166" s="80"/>
      <c r="BX166" s="133">
        <v>16</v>
      </c>
      <c r="BY166" s="133">
        <v>65</v>
      </c>
      <c r="BZ166" s="133">
        <v>225</v>
      </c>
      <c r="CA166" s="133">
        <v>60</v>
      </c>
      <c r="CB166" s="133" t="s">
        <v>225</v>
      </c>
      <c r="CC166" s="57" t="s">
        <v>55</v>
      </c>
      <c r="CD166" s="57">
        <v>1</v>
      </c>
    </row>
    <row r="167" spans="21:82" x14ac:dyDescent="0.25">
      <c r="U167" s="147" t="s">
        <v>714</v>
      </c>
      <c r="V167" s="148"/>
      <c r="W167" s="130">
        <f>IF(W154&gt;0%,6.75,3.375)</f>
        <v>3.375</v>
      </c>
      <c r="X167" s="130" t="s">
        <v>54</v>
      </c>
      <c r="Y167" s="130">
        <v>0</v>
      </c>
      <c r="Z167" s="64">
        <v>0</v>
      </c>
      <c r="AA167" s="99">
        <v>0.5</v>
      </c>
      <c r="AL167" s="129"/>
      <c r="AM167" s="61"/>
      <c r="AN167" s="148" t="s">
        <v>771</v>
      </c>
      <c r="AO167" s="148"/>
      <c r="AP167" s="130">
        <f>IF(AP150&lt;0%,((AP165-((AP165-AP166)*ABS(AP150)))),((AP165+((AP166-AP165)*ABS(AP150)))))</f>
        <v>5.0203125000000002</v>
      </c>
      <c r="AQ167" s="61"/>
      <c r="AR167" s="61"/>
      <c r="AS167" s="91">
        <v>0.7</v>
      </c>
      <c r="AT167" s="75">
        <v>0.15</v>
      </c>
      <c r="AU167" s="61"/>
      <c r="AV167" s="61"/>
      <c r="AW167" s="80"/>
      <c r="BM167" s="68"/>
      <c r="BN167" s="61"/>
      <c r="BO167" s="77">
        <v>4.9000000000000002E-2</v>
      </c>
      <c r="BP167" s="75">
        <v>0.22500000000000001</v>
      </c>
      <c r="BQ167" s="61"/>
      <c r="BR167" s="61"/>
      <c r="BS167" s="77">
        <v>4.9000000000000002E-2</v>
      </c>
      <c r="BT167" s="75">
        <v>0.72499999999999998</v>
      </c>
      <c r="BU167" s="61"/>
      <c r="BV167" s="80"/>
      <c r="BX167" s="133">
        <v>16.5</v>
      </c>
      <c r="BY167" s="133">
        <v>70</v>
      </c>
      <c r="BZ167" s="133">
        <v>225</v>
      </c>
      <c r="CA167" s="133">
        <v>60</v>
      </c>
      <c r="CB167" s="133" t="s">
        <v>226</v>
      </c>
      <c r="CC167" s="57" t="s">
        <v>55</v>
      </c>
      <c r="CD167" s="57">
        <v>2</v>
      </c>
    </row>
    <row r="168" spans="21:82" x14ac:dyDescent="0.25">
      <c r="U168" s="147" t="s">
        <v>771</v>
      </c>
      <c r="V168" s="148"/>
      <c r="W168" s="111">
        <f>IF(W154&gt;0%,((W166+((W167-W166)*ABS(W154)))),((W166-((W166-W167)*ABS(W154)))))</f>
        <v>5.0625</v>
      </c>
      <c r="X168" s="130"/>
      <c r="Y168" s="130">
        <v>1</v>
      </c>
      <c r="Z168" s="64">
        <v>-7.4999999999999997E-2</v>
      </c>
      <c r="AA168" s="99">
        <v>0.5</v>
      </c>
      <c r="AL168" s="129"/>
      <c r="AM168" s="61"/>
      <c r="AN168" s="148" t="s">
        <v>754</v>
      </c>
      <c r="AO168" s="148"/>
      <c r="AP168" s="64">
        <f>VLOOKUP(G15,BB119:BC121,2,FALSE)</f>
        <v>0</v>
      </c>
      <c r="AQ168" s="61"/>
      <c r="AR168" s="61" t="s">
        <v>725</v>
      </c>
      <c r="AS168" s="91">
        <v>0.8</v>
      </c>
      <c r="AT168" s="75">
        <v>0.1</v>
      </c>
      <c r="AU168" s="61"/>
      <c r="AV168" s="61"/>
      <c r="AW168" s="80"/>
      <c r="BM168" s="68"/>
      <c r="BN168" s="61"/>
      <c r="BO168" s="77">
        <v>0.05</v>
      </c>
      <c r="BP168" s="75">
        <v>0.25</v>
      </c>
      <c r="BQ168" s="61"/>
      <c r="BR168" s="61"/>
      <c r="BS168" s="77">
        <v>0.05</v>
      </c>
      <c r="BT168" s="75">
        <v>0.75</v>
      </c>
      <c r="BU168" s="61"/>
      <c r="BV168" s="80"/>
      <c r="BX168" s="133">
        <v>17</v>
      </c>
      <c r="BY168" s="133">
        <v>75</v>
      </c>
      <c r="BZ168" s="133">
        <v>225</v>
      </c>
      <c r="CA168" s="133">
        <v>60</v>
      </c>
      <c r="CB168" s="133" t="s">
        <v>227</v>
      </c>
      <c r="CC168" s="57" t="s">
        <v>55</v>
      </c>
      <c r="CD168" s="57">
        <v>3</v>
      </c>
    </row>
    <row r="169" spans="21:82" x14ac:dyDescent="0.25">
      <c r="U169" s="147" t="s">
        <v>754</v>
      </c>
      <c r="V169" s="148"/>
      <c r="W169" s="64">
        <f>VLOOKUP(G15,BB119:BC121,2,FALSE)</f>
        <v>0</v>
      </c>
      <c r="X169" s="130"/>
      <c r="Y169" s="130">
        <v>2</v>
      </c>
      <c r="Z169" s="64">
        <v>-0.15</v>
      </c>
      <c r="AA169" s="99">
        <v>0.4</v>
      </c>
      <c r="AL169" s="129"/>
      <c r="AM169" s="61"/>
      <c r="AN169" s="148" t="s">
        <v>741</v>
      </c>
      <c r="AO169" s="148"/>
      <c r="AP169" s="130">
        <f>VLOOKUP(AP168,AN172:AO174,2,FALSE)</f>
        <v>4.1871093750000004</v>
      </c>
      <c r="AQ169" s="61"/>
      <c r="AR169" s="61"/>
      <c r="AS169" s="61"/>
      <c r="AT169" s="61"/>
      <c r="AU169" s="61"/>
      <c r="AV169" s="61"/>
      <c r="AW169" s="80"/>
      <c r="BM169" s="68"/>
      <c r="BN169" s="61"/>
      <c r="BO169" s="77">
        <v>5.0999999999999997E-2</v>
      </c>
      <c r="BP169" s="75">
        <v>0.27500000000000002</v>
      </c>
      <c r="BQ169" s="61"/>
      <c r="BR169" s="61"/>
      <c r="BS169" s="77">
        <v>5.0999999999999997E-2</v>
      </c>
      <c r="BT169" s="75">
        <v>0.77500000000000002</v>
      </c>
      <c r="BU169" s="61"/>
      <c r="BV169" s="80"/>
      <c r="BX169" s="133">
        <v>17.5</v>
      </c>
      <c r="BY169" s="133">
        <v>80</v>
      </c>
      <c r="BZ169" s="133">
        <v>225</v>
      </c>
      <c r="CA169" s="133">
        <v>60</v>
      </c>
      <c r="CB169" s="133" t="s">
        <v>228</v>
      </c>
      <c r="CC169" s="57" t="s">
        <v>56</v>
      </c>
      <c r="CD169" s="57">
        <v>4</v>
      </c>
    </row>
    <row r="170" spans="21:82" x14ac:dyDescent="0.25">
      <c r="U170" s="147" t="s">
        <v>741</v>
      </c>
      <c r="V170" s="148"/>
      <c r="W170" s="130">
        <f>VLOOKUP(W169,U173:V175,2,FALSE)</f>
        <v>4.21875</v>
      </c>
      <c r="X170" s="130"/>
      <c r="Y170" s="130">
        <v>3</v>
      </c>
      <c r="Z170" s="64">
        <v>-0.22500000000000001</v>
      </c>
      <c r="AA170" s="99">
        <v>0.3</v>
      </c>
      <c r="AL170" s="129"/>
      <c r="AM170" s="61"/>
      <c r="AN170" s="148"/>
      <c r="AO170" s="148"/>
      <c r="AP170" s="61"/>
      <c r="AQ170" s="61"/>
      <c r="AR170" s="61"/>
      <c r="AS170" s="61"/>
      <c r="AT170" s="61"/>
      <c r="AU170" s="61"/>
      <c r="AV170" s="61"/>
      <c r="AW170" s="80"/>
      <c r="BM170" s="68"/>
      <c r="BN170" s="61"/>
      <c r="BO170" s="77">
        <v>5.1999999999999998E-2</v>
      </c>
      <c r="BP170" s="75">
        <v>0.3</v>
      </c>
      <c r="BQ170" s="61"/>
      <c r="BR170" s="61"/>
      <c r="BS170" s="77">
        <v>5.1999999999999998E-2</v>
      </c>
      <c r="BT170" s="75">
        <v>0.8</v>
      </c>
      <c r="BU170" s="61"/>
      <c r="BV170" s="80"/>
      <c r="BX170" s="133">
        <v>18</v>
      </c>
      <c r="BY170" s="133">
        <v>85</v>
      </c>
      <c r="BZ170" s="133">
        <v>225</v>
      </c>
      <c r="CA170" s="133">
        <v>60</v>
      </c>
      <c r="CB170" s="133" t="s">
        <v>229</v>
      </c>
      <c r="CC170" s="57" t="s">
        <v>56</v>
      </c>
      <c r="CD170" s="57">
        <v>5</v>
      </c>
    </row>
    <row r="171" spans="21:82" x14ac:dyDescent="0.25">
      <c r="U171" s="147"/>
      <c r="V171" s="148"/>
      <c r="W171" s="104"/>
      <c r="X171" s="61" t="s">
        <v>719</v>
      </c>
      <c r="Y171" s="130">
        <v>4</v>
      </c>
      <c r="Z171" s="64">
        <v>-0.3</v>
      </c>
      <c r="AA171" s="99">
        <v>0.2</v>
      </c>
      <c r="AL171" s="129"/>
      <c r="AM171" s="61"/>
      <c r="AN171" s="148" t="s">
        <v>773</v>
      </c>
      <c r="AO171" s="148"/>
      <c r="AP171" s="61"/>
      <c r="AQ171" s="61"/>
      <c r="AR171" s="61"/>
      <c r="AS171" s="61"/>
      <c r="AT171" s="61"/>
      <c r="AU171" s="61"/>
      <c r="AV171" s="61"/>
      <c r="AW171" s="80"/>
      <c r="BM171" s="68"/>
      <c r="BN171" s="61"/>
      <c r="BO171" s="77">
        <v>5.2999999999999999E-2</v>
      </c>
      <c r="BP171" s="75">
        <v>0.32500000000000001</v>
      </c>
      <c r="BQ171" s="61"/>
      <c r="BR171" s="61"/>
      <c r="BS171" s="77">
        <v>5.2999999999999999E-2</v>
      </c>
      <c r="BT171" s="75">
        <v>0.82499999999999996</v>
      </c>
      <c r="BU171" s="61"/>
      <c r="BV171" s="80"/>
      <c r="BX171" s="133">
        <v>18.5</v>
      </c>
      <c r="BY171" s="133">
        <v>90</v>
      </c>
      <c r="BZ171" s="133">
        <v>225</v>
      </c>
      <c r="CA171" s="133">
        <v>60</v>
      </c>
      <c r="CB171" s="133" t="s">
        <v>230</v>
      </c>
      <c r="CC171" s="57" t="s">
        <v>56</v>
      </c>
      <c r="CD171" s="57">
        <v>6</v>
      </c>
    </row>
    <row r="172" spans="21:82" x14ac:dyDescent="0.25">
      <c r="U172" s="147" t="s">
        <v>773</v>
      </c>
      <c r="V172" s="148"/>
      <c r="W172" s="104"/>
      <c r="X172" s="130"/>
      <c r="Y172" s="130">
        <v>5</v>
      </c>
      <c r="Z172" s="64">
        <v>-0.375</v>
      </c>
      <c r="AA172" s="99">
        <v>0.1</v>
      </c>
      <c r="AL172" s="129"/>
      <c r="AM172" s="61"/>
      <c r="AN172" s="119">
        <v>-0.5</v>
      </c>
      <c r="AO172" s="130">
        <f>IF(AP150&lt;0%,((AP152+((AP153-AP152)*ABS(AP150)))),((AP152-((AP152-AP153)*ABS(AP150)))))</f>
        <v>1.7296875</v>
      </c>
      <c r="AP172" s="61"/>
      <c r="AQ172" s="61"/>
      <c r="AR172" s="61"/>
      <c r="AS172" s="61"/>
      <c r="AT172" s="61"/>
      <c r="AU172" s="61"/>
      <c r="AV172" s="61"/>
      <c r="AW172" s="80"/>
      <c r="BM172" s="68"/>
      <c r="BN172" s="61"/>
      <c r="BO172" s="77">
        <v>5.3999999999999999E-2</v>
      </c>
      <c r="BP172" s="75">
        <v>0.35</v>
      </c>
      <c r="BQ172" s="61"/>
      <c r="BR172" s="61"/>
      <c r="BS172" s="77">
        <v>5.3999999999999999E-2</v>
      </c>
      <c r="BT172" s="75">
        <v>0.85</v>
      </c>
      <c r="BU172" s="61"/>
      <c r="BV172" s="80"/>
      <c r="BX172" s="133">
        <v>19</v>
      </c>
      <c r="BY172" s="133">
        <v>95</v>
      </c>
      <c r="BZ172" s="133">
        <v>225</v>
      </c>
      <c r="CA172" s="133">
        <v>60</v>
      </c>
      <c r="CB172" s="133" t="s">
        <v>231</v>
      </c>
      <c r="CC172" s="57" t="s">
        <v>57</v>
      </c>
      <c r="CD172" s="57">
        <v>7</v>
      </c>
    </row>
    <row r="173" spans="21:82" x14ac:dyDescent="0.25">
      <c r="U173" s="114">
        <v>-0.5</v>
      </c>
      <c r="V173" s="130">
        <f>IF(W154&gt;0%,((W156-((W156-W157)*ABS(W154)))),((W156+((W157-W156)*ABS(W154)))))</f>
        <v>1.6875</v>
      </c>
      <c r="W173" s="117"/>
      <c r="X173" s="130"/>
      <c r="Y173" s="130">
        <v>6</v>
      </c>
      <c r="Z173" s="64">
        <v>-0.45</v>
      </c>
      <c r="AA173" s="99">
        <v>0</v>
      </c>
      <c r="AL173" s="129"/>
      <c r="AM173" s="61"/>
      <c r="AN173" s="119">
        <v>0</v>
      </c>
      <c r="AO173" s="130">
        <f>IF(AP160=FALSE,((AP161+((AP162-AP161)*ABS(AP158)))),((AP161-((AP161-AP162)*ABS(AP158)))))</f>
        <v>4.1871093750000004</v>
      </c>
      <c r="AP173" s="61"/>
      <c r="AQ173" s="61"/>
      <c r="AR173" s="61"/>
      <c r="AS173" s="61"/>
      <c r="AT173" s="61"/>
      <c r="AU173" s="61"/>
      <c r="AV173" s="61"/>
      <c r="AW173" s="80"/>
      <c r="BM173" s="68"/>
      <c r="BN173" s="61"/>
      <c r="BO173" s="77">
        <v>5.5E-2</v>
      </c>
      <c r="BP173" s="75">
        <v>0.375</v>
      </c>
      <c r="BQ173" s="61"/>
      <c r="BR173" s="61"/>
      <c r="BS173" s="77">
        <v>5.5E-2</v>
      </c>
      <c r="BT173" s="75">
        <v>0.875</v>
      </c>
      <c r="BU173" s="61"/>
      <c r="BV173" s="80"/>
      <c r="BX173" s="133">
        <v>19.5</v>
      </c>
      <c r="BY173" s="133">
        <v>100</v>
      </c>
      <c r="BZ173" s="133">
        <v>225</v>
      </c>
      <c r="CA173" s="133">
        <v>60</v>
      </c>
      <c r="CB173" s="133" t="s">
        <v>232</v>
      </c>
      <c r="CC173" s="57" t="s">
        <v>57</v>
      </c>
      <c r="CD173" s="57">
        <v>8</v>
      </c>
    </row>
    <row r="174" spans="21:82" ht="15.75" thickBot="1" x14ac:dyDescent="0.3">
      <c r="U174" s="114">
        <v>0</v>
      </c>
      <c r="V174" s="130">
        <f>IF(W161=FALSE,((W162+((W163-W162)*ABS(W159)))),((W162-((W162-W163)*ABS(W159)))))</f>
        <v>4.21875</v>
      </c>
      <c r="W174" s="130"/>
      <c r="X174" s="130"/>
      <c r="Y174" s="130">
        <v>7</v>
      </c>
      <c r="Z174" s="64">
        <v>-0.52500000000000002</v>
      </c>
      <c r="AA174" s="99">
        <v>0</v>
      </c>
      <c r="AL174" s="131"/>
      <c r="AM174" s="95"/>
      <c r="AN174" s="120">
        <v>0.5</v>
      </c>
      <c r="AO174" s="132">
        <f>IF(AP150&lt;0%,((AP165-((AP165-AP166)*ABS(AP150)))),((AP165+((AP166-AP165)*ABS(AP150)))))</f>
        <v>5.0203125000000002</v>
      </c>
      <c r="AP174" s="95"/>
      <c r="AQ174" s="95"/>
      <c r="AR174" s="95"/>
      <c r="AS174" s="95"/>
      <c r="AT174" s="95"/>
      <c r="AU174" s="95"/>
      <c r="AV174" s="95"/>
      <c r="AW174" s="96"/>
      <c r="BM174" s="68"/>
      <c r="BN174" s="61"/>
      <c r="BO174" s="77">
        <v>5.6000000000000001E-2</v>
      </c>
      <c r="BP174" s="75">
        <v>0.4</v>
      </c>
      <c r="BQ174" s="61"/>
      <c r="BR174" s="61"/>
      <c r="BS174" s="77">
        <v>5.6000000000000001E-2</v>
      </c>
      <c r="BT174" s="75">
        <v>0.9</v>
      </c>
      <c r="BU174" s="61"/>
      <c r="BV174" s="80"/>
      <c r="BX174" s="133">
        <v>20</v>
      </c>
      <c r="BY174" s="133">
        <v>105</v>
      </c>
      <c r="BZ174" s="133">
        <v>225</v>
      </c>
      <c r="CA174" s="133">
        <v>60</v>
      </c>
      <c r="CB174" s="133" t="s">
        <v>233</v>
      </c>
      <c r="CC174" s="57" t="s">
        <v>57</v>
      </c>
      <c r="CD174" s="57">
        <v>9</v>
      </c>
    </row>
    <row r="175" spans="21:82" x14ac:dyDescent="0.25">
      <c r="U175" s="114">
        <v>0.5</v>
      </c>
      <c r="V175" s="130">
        <f>IF(W154&gt;0%,((W166+((W167-W166)*ABS(W154)))),((W166-((W166-W167)*ABS(W154)))))</f>
        <v>5.0625</v>
      </c>
      <c r="W175" s="130"/>
      <c r="X175" s="61" t="s">
        <v>57</v>
      </c>
      <c r="Y175" s="130">
        <v>8</v>
      </c>
      <c r="Z175" s="64">
        <v>-0.6</v>
      </c>
      <c r="AA175" s="99">
        <v>0</v>
      </c>
      <c r="AL175" s="133"/>
      <c r="BM175" s="68"/>
      <c r="BN175" s="61"/>
      <c r="BO175" s="77">
        <v>5.7000000000000002E-2</v>
      </c>
      <c r="BP175" s="75">
        <v>0.42499999999999999</v>
      </c>
      <c r="BQ175" s="61"/>
      <c r="BR175" s="61"/>
      <c r="BS175" s="77">
        <v>5.7000000000000002E-2</v>
      </c>
      <c r="BT175" s="75">
        <v>0.92500000000000004</v>
      </c>
      <c r="BU175" s="61"/>
      <c r="BV175" s="80"/>
      <c r="BX175" s="133">
        <v>20.5</v>
      </c>
      <c r="BY175" s="133">
        <v>110</v>
      </c>
      <c r="BZ175" s="133">
        <v>225</v>
      </c>
      <c r="CA175" s="133">
        <v>60</v>
      </c>
      <c r="CB175" s="133" t="s">
        <v>234</v>
      </c>
      <c r="CC175" s="57" t="s">
        <v>58</v>
      </c>
      <c r="CD175" s="57">
        <v>10</v>
      </c>
    </row>
    <row r="176" spans="21:82" x14ac:dyDescent="0.25">
      <c r="U176" s="129"/>
      <c r="V176" s="130"/>
      <c r="W176" s="130"/>
      <c r="X176" s="130"/>
      <c r="Y176" s="130">
        <v>9</v>
      </c>
      <c r="Z176" s="64">
        <v>-0.67500000000000004</v>
      </c>
      <c r="AA176" s="99">
        <v>0</v>
      </c>
      <c r="AL176" s="133"/>
      <c r="BM176" s="68"/>
      <c r="BN176" s="61"/>
      <c r="BO176" s="77">
        <v>5.8000000000000003E-2</v>
      </c>
      <c r="BP176" s="75">
        <v>0.45</v>
      </c>
      <c r="BQ176" s="61"/>
      <c r="BR176" s="61"/>
      <c r="BS176" s="77">
        <v>5.8000000000000003E-2</v>
      </c>
      <c r="BT176" s="75">
        <v>0.95</v>
      </c>
      <c r="BU176" s="61"/>
      <c r="BV176" s="80"/>
      <c r="BX176" s="133">
        <v>21</v>
      </c>
      <c r="BY176" s="133">
        <v>115</v>
      </c>
      <c r="BZ176" s="133">
        <v>225</v>
      </c>
      <c r="CA176" s="133">
        <v>60</v>
      </c>
      <c r="CB176" s="133" t="s">
        <v>235</v>
      </c>
      <c r="CC176" s="57" t="s">
        <v>58</v>
      </c>
      <c r="CD176" s="57">
        <v>11</v>
      </c>
    </row>
    <row r="177" spans="21:82" x14ac:dyDescent="0.25">
      <c r="U177" s="129"/>
      <c r="V177" s="130"/>
      <c r="W177" s="130"/>
      <c r="X177" s="130"/>
      <c r="Y177" s="130">
        <v>10</v>
      </c>
      <c r="Z177" s="64">
        <v>-0.75</v>
      </c>
      <c r="AA177" s="99">
        <v>0</v>
      </c>
      <c r="AL177" s="133"/>
      <c r="BM177" s="68"/>
      <c r="BN177" s="61"/>
      <c r="BO177" s="77">
        <v>5.8999999999999997E-2</v>
      </c>
      <c r="BP177" s="75">
        <v>0.47499999999999998</v>
      </c>
      <c r="BQ177" s="61"/>
      <c r="BR177" s="61"/>
      <c r="BS177" s="77">
        <v>5.8999999999999997E-2</v>
      </c>
      <c r="BT177" s="75">
        <v>0.97499999999999998</v>
      </c>
      <c r="BU177" s="61"/>
      <c r="BV177" s="80"/>
      <c r="BX177" s="133">
        <v>21.5</v>
      </c>
      <c r="BY177" s="133">
        <v>120</v>
      </c>
      <c r="BZ177" s="133">
        <v>225</v>
      </c>
      <c r="CA177" s="133">
        <v>60</v>
      </c>
      <c r="CB177" s="133" t="s">
        <v>236</v>
      </c>
      <c r="CC177" s="57" t="s">
        <v>58</v>
      </c>
      <c r="CD177" s="57">
        <v>12</v>
      </c>
    </row>
    <row r="178" spans="21:82" x14ac:dyDescent="0.25">
      <c r="U178" s="129"/>
      <c r="V178" s="130"/>
      <c r="W178" s="130"/>
      <c r="X178" s="130"/>
      <c r="Y178" s="130">
        <v>11</v>
      </c>
      <c r="Z178" s="64">
        <v>-0.82499999999999996</v>
      </c>
      <c r="AA178" s="99">
        <v>0</v>
      </c>
      <c r="AL178" s="133"/>
      <c r="BM178" s="68"/>
      <c r="BN178" s="61"/>
      <c r="BO178" s="77">
        <v>0.06</v>
      </c>
      <c r="BP178" s="75">
        <v>0.5</v>
      </c>
      <c r="BQ178" s="61"/>
      <c r="BR178" s="61"/>
      <c r="BS178" s="77">
        <v>0.06</v>
      </c>
      <c r="BT178" s="75">
        <v>1</v>
      </c>
      <c r="BU178" s="61"/>
      <c r="BV178" s="80"/>
      <c r="BX178" s="133">
        <v>22</v>
      </c>
      <c r="BY178" s="133">
        <v>125</v>
      </c>
      <c r="BZ178" s="133">
        <v>225</v>
      </c>
      <c r="CA178" s="133">
        <v>60</v>
      </c>
      <c r="CB178" s="133" t="s">
        <v>237</v>
      </c>
      <c r="CC178" s="57" t="s">
        <v>59</v>
      </c>
      <c r="CD178" s="57">
        <v>13</v>
      </c>
    </row>
    <row r="179" spans="21:82" x14ac:dyDescent="0.25">
      <c r="U179" s="129"/>
      <c r="V179" s="130"/>
      <c r="W179" s="130"/>
      <c r="X179" s="130"/>
      <c r="Y179" s="130">
        <v>12</v>
      </c>
      <c r="Z179" s="64">
        <v>-0.9</v>
      </c>
      <c r="AA179" s="99">
        <v>0</v>
      </c>
      <c r="AL179" s="133"/>
      <c r="BM179" s="68"/>
      <c r="BN179" s="61"/>
      <c r="BO179" s="61"/>
      <c r="BP179" s="61"/>
      <c r="BQ179" s="61"/>
      <c r="BR179" s="61"/>
      <c r="BS179" s="61"/>
      <c r="BT179" s="61"/>
      <c r="BU179" s="61"/>
      <c r="BV179" s="80"/>
      <c r="BX179" s="133">
        <v>22.5</v>
      </c>
      <c r="BY179" s="133">
        <v>130</v>
      </c>
      <c r="BZ179" s="133">
        <v>225</v>
      </c>
      <c r="CA179" s="133">
        <v>60</v>
      </c>
      <c r="CB179" s="133" t="s">
        <v>238</v>
      </c>
      <c r="CC179" s="57" t="s">
        <v>59</v>
      </c>
      <c r="CD179" s="57">
        <v>14</v>
      </c>
    </row>
    <row r="180" spans="21:82" x14ac:dyDescent="0.25">
      <c r="U180" s="129"/>
      <c r="V180" s="130"/>
      <c r="W180" s="130"/>
      <c r="X180" s="130"/>
      <c r="Y180" s="130">
        <v>13</v>
      </c>
      <c r="Z180" s="64">
        <v>-0.97499999999999998</v>
      </c>
      <c r="AA180" s="99">
        <v>0</v>
      </c>
      <c r="AL180" s="133"/>
      <c r="BM180" s="68"/>
      <c r="BN180" s="61"/>
      <c r="BO180" s="61"/>
      <c r="BP180" s="61"/>
      <c r="BQ180" s="61"/>
      <c r="BR180" s="61"/>
      <c r="BS180" s="61"/>
      <c r="BT180" s="61"/>
      <c r="BU180" s="61"/>
      <c r="BV180" s="80"/>
      <c r="BX180" s="133">
        <v>23</v>
      </c>
      <c r="BY180" s="133">
        <v>135</v>
      </c>
      <c r="BZ180" s="133">
        <v>225</v>
      </c>
      <c r="CA180" s="133">
        <v>60</v>
      </c>
      <c r="CB180" s="133" t="s">
        <v>239</v>
      </c>
      <c r="CC180" s="57" t="s">
        <v>59</v>
      </c>
      <c r="CD180" s="57">
        <v>15</v>
      </c>
    </row>
    <row r="181" spans="21:82" x14ac:dyDescent="0.25">
      <c r="U181" s="129"/>
      <c r="V181" s="130"/>
      <c r="W181" s="130"/>
      <c r="X181" s="130"/>
      <c r="Y181" s="130">
        <v>14</v>
      </c>
      <c r="Z181" s="64">
        <v>-1</v>
      </c>
      <c r="AA181" s="99">
        <v>0</v>
      </c>
      <c r="AL181" s="133"/>
      <c r="BM181" s="68"/>
      <c r="BN181" s="61"/>
      <c r="BO181" s="61"/>
      <c r="BP181" s="61"/>
      <c r="BQ181" s="61"/>
      <c r="BR181" s="61"/>
      <c r="BS181" s="61"/>
      <c r="BT181" s="61"/>
      <c r="BU181" s="61"/>
      <c r="BV181" s="80"/>
      <c r="BX181" s="133">
        <v>23.5</v>
      </c>
      <c r="BY181" s="133">
        <v>140</v>
      </c>
      <c r="BZ181" s="133">
        <v>225</v>
      </c>
      <c r="CA181" s="133">
        <v>60</v>
      </c>
      <c r="CB181" s="133" t="s">
        <v>240</v>
      </c>
      <c r="CC181" s="57" t="s">
        <v>59</v>
      </c>
      <c r="CD181" s="57">
        <v>16</v>
      </c>
    </row>
    <row r="182" spans="21:82" x14ac:dyDescent="0.25">
      <c r="U182" s="129"/>
      <c r="V182" s="130"/>
      <c r="W182" s="130"/>
      <c r="X182" s="130"/>
      <c r="Y182" s="130">
        <v>15</v>
      </c>
      <c r="Z182" s="64">
        <v>-1</v>
      </c>
      <c r="AA182" s="99">
        <v>0</v>
      </c>
      <c r="AL182" s="133"/>
      <c r="BM182" s="147" t="s">
        <v>51</v>
      </c>
      <c r="BN182" s="148"/>
      <c r="BO182" s="148"/>
      <c r="BP182" s="61"/>
      <c r="BQ182" s="61"/>
      <c r="BR182" s="61"/>
      <c r="BS182" s="61"/>
      <c r="BT182" s="61"/>
      <c r="BU182" s="61"/>
      <c r="BV182" s="80"/>
      <c r="BX182" s="133">
        <v>24</v>
      </c>
      <c r="BY182" s="133">
        <v>145</v>
      </c>
      <c r="BZ182" s="133">
        <v>225</v>
      </c>
      <c r="CA182" s="133">
        <v>60</v>
      </c>
      <c r="CB182" s="133" t="s">
        <v>241</v>
      </c>
      <c r="CC182" s="57" t="s">
        <v>59</v>
      </c>
      <c r="CD182" s="57">
        <v>17</v>
      </c>
    </row>
    <row r="183" spans="21:82" x14ac:dyDescent="0.25">
      <c r="U183" s="129"/>
      <c r="V183" s="130"/>
      <c r="W183" s="130"/>
      <c r="X183" s="130"/>
      <c r="Y183" s="130">
        <v>16</v>
      </c>
      <c r="Z183" s="64">
        <v>-1</v>
      </c>
      <c r="AA183" s="99">
        <v>0</v>
      </c>
      <c r="AL183" s="133"/>
      <c r="BM183" s="147" t="s">
        <v>52</v>
      </c>
      <c r="BN183" s="148"/>
      <c r="BO183" s="64">
        <f>VLOOKUP(G19,BM118:BN152,2,FALSE)</f>
        <v>0.75</v>
      </c>
      <c r="BP183" s="61"/>
      <c r="BQ183" s="61"/>
      <c r="BR183" s="61"/>
      <c r="BS183" s="61"/>
      <c r="BT183" s="61"/>
      <c r="BU183" s="61"/>
      <c r="BV183" s="80"/>
      <c r="BX183" s="133">
        <v>24.5</v>
      </c>
      <c r="BY183" s="133">
        <v>150</v>
      </c>
      <c r="BZ183" s="133">
        <v>225</v>
      </c>
      <c r="CA183" s="133">
        <v>60</v>
      </c>
      <c r="CB183" s="133" t="s">
        <v>242</v>
      </c>
      <c r="CC183" s="57" t="s">
        <v>59</v>
      </c>
      <c r="CD183" s="57">
        <v>18</v>
      </c>
    </row>
    <row r="184" spans="21:82" x14ac:dyDescent="0.25">
      <c r="U184" s="129"/>
      <c r="V184" s="130"/>
      <c r="W184" s="130"/>
      <c r="X184" s="130"/>
      <c r="Y184" s="130">
        <v>17</v>
      </c>
      <c r="Z184" s="64">
        <v>-1</v>
      </c>
      <c r="AA184" s="99">
        <v>0</v>
      </c>
      <c r="AL184" s="133"/>
      <c r="BM184" s="147" t="s">
        <v>53</v>
      </c>
      <c r="BN184" s="148"/>
      <c r="BO184" s="64">
        <f>VLOOKUP(G20,BO118:BP178,2,FALSE)</f>
        <v>0.25</v>
      </c>
      <c r="BP184" s="61"/>
      <c r="BQ184" s="61"/>
      <c r="BR184" s="61"/>
      <c r="BS184" s="61"/>
      <c r="BT184" s="61"/>
      <c r="BU184" s="61"/>
      <c r="BV184" s="80"/>
      <c r="BX184" s="133">
        <v>25</v>
      </c>
      <c r="BY184" s="133">
        <v>155</v>
      </c>
      <c r="BZ184" s="133">
        <v>225</v>
      </c>
      <c r="CA184" s="133">
        <v>60</v>
      </c>
      <c r="CB184" s="133" t="s">
        <v>243</v>
      </c>
      <c r="CC184" s="57" t="s">
        <v>59</v>
      </c>
      <c r="CD184" s="57">
        <v>19</v>
      </c>
    </row>
    <row r="185" spans="21:82" x14ac:dyDescent="0.25">
      <c r="U185" s="129"/>
      <c r="V185" s="130"/>
      <c r="W185" s="130"/>
      <c r="X185" s="130"/>
      <c r="Y185" s="130">
        <v>18</v>
      </c>
      <c r="Z185" s="64">
        <v>-1</v>
      </c>
      <c r="AA185" s="99">
        <v>0</v>
      </c>
      <c r="AL185" s="133"/>
      <c r="BM185" s="147" t="s">
        <v>986</v>
      </c>
      <c r="BN185" s="148"/>
      <c r="BO185" s="64">
        <f>VLOOKUP(G21,BU118:BV148,2,FALSE)</f>
        <v>-0.5</v>
      </c>
      <c r="BP185" s="61"/>
      <c r="BQ185" s="61"/>
      <c r="BR185" s="61"/>
      <c r="BS185" s="61"/>
      <c r="BT185" s="61"/>
      <c r="BU185" s="61"/>
      <c r="BV185" s="80"/>
      <c r="BX185" s="133">
        <v>10</v>
      </c>
      <c r="BY185" s="133">
        <v>5</v>
      </c>
      <c r="BZ185" s="133">
        <v>250</v>
      </c>
      <c r="CA185" s="133">
        <v>65</v>
      </c>
      <c r="CB185" s="133" t="s">
        <v>244</v>
      </c>
      <c r="CC185" s="57" t="s">
        <v>63</v>
      </c>
      <c r="CD185" s="57">
        <v>-12</v>
      </c>
    </row>
    <row r="186" spans="21:82" x14ac:dyDescent="0.25">
      <c r="U186" s="129"/>
      <c r="V186" s="130"/>
      <c r="W186" s="130"/>
      <c r="X186" s="130"/>
      <c r="Y186" s="130">
        <v>19</v>
      </c>
      <c r="Z186" s="64">
        <v>-1</v>
      </c>
      <c r="AA186" s="99">
        <v>0</v>
      </c>
      <c r="AL186" s="133"/>
      <c r="BM186" s="147" t="s">
        <v>729</v>
      </c>
      <c r="BN186" s="148"/>
      <c r="BO186" s="64">
        <f>((BO183*0.2)+(BO184*0.2)+(BO185*0.6))</f>
        <v>-9.9999999999999978E-2</v>
      </c>
      <c r="BP186" s="61"/>
      <c r="BQ186" s="61"/>
      <c r="BR186" s="61"/>
      <c r="BS186" s="61"/>
      <c r="BT186" s="61"/>
      <c r="BU186" s="61"/>
      <c r="BV186" s="80"/>
      <c r="BX186" s="133">
        <v>10.5</v>
      </c>
      <c r="BY186" s="133">
        <v>10</v>
      </c>
      <c r="BZ186" s="133">
        <v>250</v>
      </c>
      <c r="CA186" s="133">
        <v>65</v>
      </c>
      <c r="CB186" s="133" t="s">
        <v>245</v>
      </c>
      <c r="CC186" s="57" t="s">
        <v>63</v>
      </c>
      <c r="CD186" s="57">
        <v>-11</v>
      </c>
    </row>
    <row r="187" spans="21:82" x14ac:dyDescent="0.25">
      <c r="U187" s="129"/>
      <c r="V187" s="130"/>
      <c r="W187" s="130"/>
      <c r="X187" s="130"/>
      <c r="Y187" s="130">
        <v>20</v>
      </c>
      <c r="Z187" s="64">
        <v>-1</v>
      </c>
      <c r="AA187" s="99">
        <v>0</v>
      </c>
      <c r="AL187" s="133"/>
      <c r="BM187" s="147" t="s">
        <v>754</v>
      </c>
      <c r="BN187" s="148"/>
      <c r="BO187" s="65">
        <f>BC119</f>
        <v>-0.5</v>
      </c>
      <c r="BP187" s="61"/>
      <c r="BQ187" s="61"/>
      <c r="BR187" s="61"/>
      <c r="BS187" s="61"/>
      <c r="BT187" s="61"/>
      <c r="BU187" s="61"/>
      <c r="BV187" s="80"/>
      <c r="BX187" s="133">
        <v>11</v>
      </c>
      <c r="BY187" s="133">
        <v>15</v>
      </c>
      <c r="BZ187" s="133">
        <v>250</v>
      </c>
      <c r="CA187" s="133">
        <v>65</v>
      </c>
      <c r="CB187" s="133" t="s">
        <v>246</v>
      </c>
      <c r="CC187" s="57" t="s">
        <v>63</v>
      </c>
      <c r="CD187" s="57">
        <v>-10</v>
      </c>
    </row>
    <row r="188" spans="21:82" x14ac:dyDescent="0.25">
      <c r="U188" s="129"/>
      <c r="V188" s="130"/>
      <c r="W188" s="130"/>
      <c r="X188" s="130"/>
      <c r="Y188" s="130">
        <v>21</v>
      </c>
      <c r="Z188" s="64">
        <v>-1</v>
      </c>
      <c r="AA188" s="99">
        <v>0</v>
      </c>
      <c r="AL188" s="133"/>
      <c r="BM188" s="147" t="s">
        <v>753</v>
      </c>
      <c r="BN188" s="148"/>
      <c r="BO188" s="130">
        <f>0+(3.375*ABS(BO187))</f>
        <v>1.6875</v>
      </c>
      <c r="BP188" s="61"/>
      <c r="BQ188" s="61"/>
      <c r="BR188" s="61"/>
      <c r="BS188" s="61"/>
      <c r="BT188" s="61"/>
      <c r="BU188" s="61"/>
      <c r="BV188" s="80"/>
      <c r="BX188" s="133">
        <v>11.5</v>
      </c>
      <c r="BY188" s="133">
        <v>20</v>
      </c>
      <c r="BZ188" s="133">
        <v>250</v>
      </c>
      <c r="CA188" s="133">
        <v>65</v>
      </c>
      <c r="CB188" s="133" t="s">
        <v>247</v>
      </c>
      <c r="CC188" s="57" t="s">
        <v>62</v>
      </c>
      <c r="CD188" s="57">
        <v>-9</v>
      </c>
    </row>
    <row r="189" spans="21:82" x14ac:dyDescent="0.25">
      <c r="U189" s="129"/>
      <c r="V189" s="130"/>
      <c r="W189" s="130"/>
      <c r="X189" s="130"/>
      <c r="Y189" s="130">
        <v>22</v>
      </c>
      <c r="Z189" s="64">
        <v>-1</v>
      </c>
      <c r="AA189" s="99">
        <v>0</v>
      </c>
      <c r="AL189" s="133"/>
      <c r="BM189" s="147" t="s">
        <v>714</v>
      </c>
      <c r="BN189" s="148"/>
      <c r="BO189" s="130">
        <f>IF(BO186&gt;0%,0,3.375)</f>
        <v>3.375</v>
      </c>
      <c r="BP189" s="61"/>
      <c r="BQ189" s="61"/>
      <c r="BR189" s="61"/>
      <c r="BS189" s="61"/>
      <c r="BT189" s="61"/>
      <c r="BU189" s="61"/>
      <c r="BV189" s="80"/>
      <c r="BX189" s="133">
        <v>12</v>
      </c>
      <c r="BY189" s="133">
        <v>25</v>
      </c>
      <c r="BZ189" s="133">
        <v>250</v>
      </c>
      <c r="CA189" s="133">
        <v>65</v>
      </c>
      <c r="CB189" s="133" t="s">
        <v>248</v>
      </c>
      <c r="CC189" s="57" t="s">
        <v>62</v>
      </c>
      <c r="CD189" s="57">
        <v>-8</v>
      </c>
    </row>
    <row r="190" spans="21:82" x14ac:dyDescent="0.25">
      <c r="U190" s="129"/>
      <c r="V190" s="130"/>
      <c r="W190" s="130"/>
      <c r="X190" s="130"/>
      <c r="Y190" s="130">
        <v>23</v>
      </c>
      <c r="Z190" s="64">
        <v>-1</v>
      </c>
      <c r="AA190" s="99">
        <v>0</v>
      </c>
      <c r="AL190" s="133"/>
      <c r="BM190" s="147" t="s">
        <v>772</v>
      </c>
      <c r="BN190" s="148"/>
      <c r="BO190" s="130">
        <f>IF(BO186&lt;0%,((BO188+((BO189-BO188)*ABS(BO186)))),((BO188-((BO188-BO189)*ABS(BO186)))))</f>
        <v>1.85625</v>
      </c>
      <c r="BP190" s="61"/>
      <c r="BQ190" s="61"/>
      <c r="BR190" s="61"/>
      <c r="BS190" s="61"/>
      <c r="BT190" s="61"/>
      <c r="BU190" s="61"/>
      <c r="BV190" s="80"/>
      <c r="BX190" s="133">
        <v>12.5</v>
      </c>
      <c r="BY190" s="133">
        <v>30</v>
      </c>
      <c r="BZ190" s="133">
        <v>250</v>
      </c>
      <c r="CA190" s="133">
        <v>65</v>
      </c>
      <c r="CB190" s="133" t="s">
        <v>249</v>
      </c>
      <c r="CC190" s="57" t="s">
        <v>62</v>
      </c>
      <c r="CD190" s="57">
        <v>-7</v>
      </c>
    </row>
    <row r="191" spans="21:82" ht="15.75" thickBot="1" x14ac:dyDescent="0.3">
      <c r="U191" s="131"/>
      <c r="V191" s="132"/>
      <c r="W191" s="132"/>
      <c r="X191" s="132"/>
      <c r="Y191" s="132">
        <v>24</v>
      </c>
      <c r="Z191" s="105">
        <v>-1</v>
      </c>
      <c r="AA191" s="106">
        <v>0</v>
      </c>
      <c r="AL191" s="133"/>
      <c r="BM191" s="147" t="s">
        <v>52</v>
      </c>
      <c r="BN191" s="148"/>
      <c r="BO191" s="64">
        <f>VLOOKUP(G19,BQ118:BR152,2,FALSE)</f>
        <v>0.875</v>
      </c>
      <c r="BP191" s="61"/>
      <c r="BQ191" s="61"/>
      <c r="BR191" s="61"/>
      <c r="BS191" s="61"/>
      <c r="BT191" s="61"/>
      <c r="BU191" s="61"/>
      <c r="BV191" s="80"/>
      <c r="BX191" s="133">
        <v>13</v>
      </c>
      <c r="BY191" s="133">
        <v>35</v>
      </c>
      <c r="BZ191" s="133">
        <v>250</v>
      </c>
      <c r="CA191" s="133">
        <v>65</v>
      </c>
      <c r="CB191" s="133" t="s">
        <v>250</v>
      </c>
      <c r="CC191" s="57" t="s">
        <v>61</v>
      </c>
      <c r="CD191" s="57">
        <v>-6</v>
      </c>
    </row>
    <row r="192" spans="21:82" x14ac:dyDescent="0.25">
      <c r="AL192" s="133"/>
      <c r="BM192" s="147" t="s">
        <v>53</v>
      </c>
      <c r="BN192" s="148"/>
      <c r="BO192" s="64">
        <f>VLOOKUP(G20,BS118:BT178,2,FALSE)</f>
        <v>0.75</v>
      </c>
      <c r="BP192" s="61"/>
      <c r="BQ192" s="61"/>
      <c r="BR192" s="61"/>
      <c r="BS192" s="61"/>
      <c r="BT192" s="61"/>
      <c r="BU192" s="61"/>
      <c r="BV192" s="80"/>
      <c r="BX192" s="133">
        <v>13.5</v>
      </c>
      <c r="BY192" s="133">
        <v>40</v>
      </c>
      <c r="BZ192" s="133">
        <v>250</v>
      </c>
      <c r="CA192" s="133">
        <v>65</v>
      </c>
      <c r="CB192" s="133" t="s">
        <v>251</v>
      </c>
      <c r="CC192" s="57" t="s">
        <v>61</v>
      </c>
      <c r="CD192" s="57">
        <v>-5</v>
      </c>
    </row>
    <row r="193" spans="38:82" x14ac:dyDescent="0.25">
      <c r="AL193" s="133"/>
      <c r="BM193" s="147" t="s">
        <v>852</v>
      </c>
      <c r="BN193" s="148"/>
      <c r="BO193" s="64">
        <f>VLOOKUP(G21,BU118:BV148,2,FALSE)</f>
        <v>-0.5</v>
      </c>
      <c r="BP193" s="61"/>
      <c r="BQ193" s="61"/>
      <c r="BR193" s="61"/>
      <c r="BS193" s="61"/>
      <c r="BT193" s="61"/>
      <c r="BU193" s="61"/>
      <c r="BV193" s="80"/>
      <c r="BX193" s="133">
        <v>14</v>
      </c>
      <c r="BY193" s="133">
        <v>45</v>
      </c>
      <c r="BZ193" s="133">
        <v>250</v>
      </c>
      <c r="CA193" s="133">
        <v>65</v>
      </c>
      <c r="CB193" s="133" t="s">
        <v>252</v>
      </c>
      <c r="CC193" s="57" t="s">
        <v>61</v>
      </c>
      <c r="CD193" s="57">
        <v>-4</v>
      </c>
    </row>
    <row r="194" spans="38:82" x14ac:dyDescent="0.25">
      <c r="AL194" s="133"/>
      <c r="BM194" s="147" t="s">
        <v>729</v>
      </c>
      <c r="BN194" s="148"/>
      <c r="BO194" s="64">
        <f>((BO191*0.15)+(BO192*0.15)+(BO193*0.7))</f>
        <v>-0.10624999999999998</v>
      </c>
      <c r="BP194" s="61"/>
      <c r="BQ194" s="61"/>
      <c r="BR194" s="61"/>
      <c r="BS194" s="61"/>
      <c r="BT194" s="61"/>
      <c r="BU194" s="61"/>
      <c r="BV194" s="80"/>
      <c r="BX194" s="133">
        <v>14.5</v>
      </c>
      <c r="BY194" s="133">
        <v>50</v>
      </c>
      <c r="BZ194" s="133">
        <v>250</v>
      </c>
      <c r="CA194" s="133">
        <v>65</v>
      </c>
      <c r="CB194" s="133" t="s">
        <v>253</v>
      </c>
      <c r="CC194" s="57" t="s">
        <v>60</v>
      </c>
      <c r="CD194" s="57">
        <v>-3</v>
      </c>
    </row>
    <row r="195" spans="38:82" x14ac:dyDescent="0.25">
      <c r="AL195" s="133"/>
      <c r="BM195" s="147" t="s">
        <v>754</v>
      </c>
      <c r="BN195" s="148"/>
      <c r="BO195" s="65">
        <f>BC120</f>
        <v>0</v>
      </c>
      <c r="BP195" s="61"/>
      <c r="BQ195" s="61"/>
      <c r="BR195" s="61"/>
      <c r="BS195" s="61"/>
      <c r="BT195" s="61"/>
      <c r="BU195" s="61"/>
      <c r="BV195" s="80"/>
      <c r="BX195" s="133">
        <v>15</v>
      </c>
      <c r="BY195" s="133">
        <v>55</v>
      </c>
      <c r="BZ195" s="133">
        <v>250</v>
      </c>
      <c r="CA195" s="133">
        <v>65</v>
      </c>
      <c r="CB195" s="133" t="s">
        <v>254</v>
      </c>
      <c r="CC195" s="57" t="s">
        <v>60</v>
      </c>
      <c r="CD195" s="57">
        <v>-2</v>
      </c>
    </row>
    <row r="196" spans="38:82" x14ac:dyDescent="0.25">
      <c r="AL196" s="133"/>
      <c r="BM196" s="147" t="s">
        <v>717</v>
      </c>
      <c r="BN196" s="148"/>
      <c r="BO196" s="130" t="b">
        <f>VLOOKUP(G13,BF31:BG32,2,FALSE)</f>
        <v>0</v>
      </c>
      <c r="BP196" s="61"/>
      <c r="BQ196" s="61"/>
      <c r="BR196" s="61"/>
      <c r="BS196" s="61"/>
      <c r="BT196" s="61"/>
      <c r="BU196" s="61"/>
      <c r="BV196" s="80"/>
      <c r="BX196" s="133">
        <v>15.5</v>
      </c>
      <c r="BY196" s="133">
        <v>60</v>
      </c>
      <c r="BZ196" s="133">
        <v>250</v>
      </c>
      <c r="CA196" s="133">
        <v>65</v>
      </c>
      <c r="CB196" s="133" t="s">
        <v>255</v>
      </c>
      <c r="CC196" s="57" t="s">
        <v>60</v>
      </c>
      <c r="CD196" s="57">
        <v>-1</v>
      </c>
    </row>
    <row r="197" spans="38:82" x14ac:dyDescent="0.25">
      <c r="AL197" s="133"/>
      <c r="BM197" s="147" t="s">
        <v>753</v>
      </c>
      <c r="BN197" s="148"/>
      <c r="BO197" s="130">
        <f>(3.375)</f>
        <v>3.375</v>
      </c>
      <c r="BP197" s="61"/>
      <c r="BQ197" s="61"/>
      <c r="BR197" s="61"/>
      <c r="BS197" s="61"/>
      <c r="BT197" s="61"/>
      <c r="BU197" s="61"/>
      <c r="BV197" s="80"/>
      <c r="BX197" s="133">
        <v>16</v>
      </c>
      <c r="BY197" s="133">
        <v>65</v>
      </c>
      <c r="BZ197" s="133">
        <v>250</v>
      </c>
      <c r="CA197" s="133">
        <v>65</v>
      </c>
      <c r="CB197" s="133" t="s">
        <v>256</v>
      </c>
      <c r="CC197" s="57" t="s">
        <v>54</v>
      </c>
      <c r="CD197" s="57">
        <v>0</v>
      </c>
    </row>
    <row r="198" spans="38:82" x14ac:dyDescent="0.25">
      <c r="AL198" s="133"/>
      <c r="BM198" s="147" t="s">
        <v>774</v>
      </c>
      <c r="BN198" s="148"/>
      <c r="BO198" s="130">
        <f>IF(BO196=FALSE,5.0625,1.6875)</f>
        <v>5.0625</v>
      </c>
      <c r="BP198" s="61"/>
      <c r="BQ198" s="61"/>
      <c r="BR198" s="61"/>
      <c r="BS198" s="61"/>
      <c r="BT198" s="61"/>
      <c r="BU198" s="61"/>
      <c r="BV198" s="80"/>
      <c r="BX198" s="133">
        <v>16.5</v>
      </c>
      <c r="BY198" s="133">
        <v>70</v>
      </c>
      <c r="BZ198" s="133">
        <v>250</v>
      </c>
      <c r="CA198" s="133">
        <v>65</v>
      </c>
      <c r="CB198" s="133" t="s">
        <v>257</v>
      </c>
      <c r="CC198" s="57" t="s">
        <v>55</v>
      </c>
      <c r="CD198" s="57">
        <v>1</v>
      </c>
    </row>
    <row r="199" spans="38:82" x14ac:dyDescent="0.25">
      <c r="AL199" s="133"/>
      <c r="BM199" s="147" t="s">
        <v>770</v>
      </c>
      <c r="BN199" s="148"/>
      <c r="BO199" s="130">
        <f>IF(BO196=FALSE,((BO197+((BO198-BO197)*ABS(BO194)))),((BO197-((BO197-BO198)*ABS(BO194)))))</f>
        <v>3.5542968749999999</v>
      </c>
      <c r="BP199" s="61"/>
      <c r="BQ199" s="61"/>
      <c r="BR199" s="61"/>
      <c r="BS199" s="61"/>
      <c r="BT199" s="61"/>
      <c r="BU199" s="61"/>
      <c r="BV199" s="80"/>
      <c r="BX199" s="133">
        <v>17</v>
      </c>
      <c r="BY199" s="133">
        <v>75</v>
      </c>
      <c r="BZ199" s="133">
        <v>250</v>
      </c>
      <c r="CA199" s="133">
        <v>65</v>
      </c>
      <c r="CB199" s="133" t="s">
        <v>258</v>
      </c>
      <c r="CC199" s="57" t="s">
        <v>55</v>
      </c>
      <c r="CD199" s="57">
        <v>2</v>
      </c>
    </row>
    <row r="200" spans="38:82" x14ac:dyDescent="0.25">
      <c r="AL200" s="133"/>
      <c r="BM200" s="147" t="s">
        <v>754</v>
      </c>
      <c r="BN200" s="148"/>
      <c r="BO200" s="65">
        <f>BC121</f>
        <v>0.5</v>
      </c>
      <c r="BP200" s="61"/>
      <c r="BQ200" s="61"/>
      <c r="BR200" s="61"/>
      <c r="BS200" s="61"/>
      <c r="BT200" s="61"/>
      <c r="BU200" s="61"/>
      <c r="BV200" s="80"/>
      <c r="BX200" s="133">
        <v>17.5</v>
      </c>
      <c r="BY200" s="133">
        <v>80</v>
      </c>
      <c r="BZ200" s="133">
        <v>250</v>
      </c>
      <c r="CA200" s="133">
        <v>65</v>
      </c>
      <c r="CB200" s="133" t="s">
        <v>259</v>
      </c>
      <c r="CC200" s="57" t="s">
        <v>55</v>
      </c>
      <c r="CD200" s="57">
        <v>3</v>
      </c>
    </row>
    <row r="201" spans="38:82" x14ac:dyDescent="0.25">
      <c r="AL201" s="133"/>
      <c r="BM201" s="147" t="s">
        <v>753</v>
      </c>
      <c r="BN201" s="148"/>
      <c r="BO201" s="130">
        <f>6.75-(3.375*ABS(BO200))</f>
        <v>5.0625</v>
      </c>
      <c r="BP201" s="61"/>
      <c r="BQ201" s="61"/>
      <c r="BR201" s="61"/>
      <c r="BS201" s="61"/>
      <c r="BT201" s="61"/>
      <c r="BU201" s="61"/>
      <c r="BV201" s="80"/>
      <c r="BX201" s="133">
        <v>18</v>
      </c>
      <c r="BY201" s="133">
        <v>85</v>
      </c>
      <c r="BZ201" s="133">
        <v>250</v>
      </c>
      <c r="CA201" s="133">
        <v>65</v>
      </c>
      <c r="CB201" s="133" t="s">
        <v>260</v>
      </c>
      <c r="CC201" s="57" t="s">
        <v>56</v>
      </c>
      <c r="CD201" s="57">
        <v>4</v>
      </c>
    </row>
    <row r="202" spans="38:82" x14ac:dyDescent="0.25">
      <c r="AL202" s="133"/>
      <c r="BM202" s="147" t="s">
        <v>714</v>
      </c>
      <c r="BN202" s="148"/>
      <c r="BO202" s="130">
        <f>IF(BO186&lt;0%,3.375,6.75)</f>
        <v>3.375</v>
      </c>
      <c r="BP202" s="61"/>
      <c r="BQ202" s="61"/>
      <c r="BR202" s="61"/>
      <c r="BS202" s="61"/>
      <c r="BT202" s="61"/>
      <c r="BU202" s="61"/>
      <c r="BV202" s="80"/>
      <c r="BX202" s="133">
        <v>18.5</v>
      </c>
      <c r="BY202" s="133">
        <v>90</v>
      </c>
      <c r="BZ202" s="133">
        <v>250</v>
      </c>
      <c r="CA202" s="133">
        <v>65</v>
      </c>
      <c r="CB202" s="133" t="s">
        <v>261</v>
      </c>
      <c r="CC202" s="57" t="s">
        <v>56</v>
      </c>
      <c r="CD202" s="57">
        <v>5</v>
      </c>
    </row>
    <row r="203" spans="38:82" x14ac:dyDescent="0.25">
      <c r="AL203" s="133"/>
      <c r="BM203" s="147" t="s">
        <v>771</v>
      </c>
      <c r="BN203" s="148"/>
      <c r="BO203" s="130">
        <f>IF(BO186&lt;0%,((BO201-((BO201-BO202)*ABS(BO186)))),((BO201+((BO202-BO201)*ABS(BO186)))))</f>
        <v>4.8937499999999998</v>
      </c>
      <c r="BP203" s="61"/>
      <c r="BQ203" s="61"/>
      <c r="BR203" s="61"/>
      <c r="BS203" s="61"/>
      <c r="BT203" s="61"/>
      <c r="BU203" s="61"/>
      <c r="BV203" s="80"/>
      <c r="BX203" s="133">
        <v>19</v>
      </c>
      <c r="BY203" s="133">
        <v>95</v>
      </c>
      <c r="BZ203" s="133">
        <v>250</v>
      </c>
      <c r="CA203" s="133">
        <v>65</v>
      </c>
      <c r="CB203" s="133" t="s">
        <v>262</v>
      </c>
      <c r="CC203" s="57" t="s">
        <v>56</v>
      </c>
      <c r="CD203" s="57">
        <v>6</v>
      </c>
    </row>
    <row r="204" spans="38:82" x14ac:dyDescent="0.25">
      <c r="AL204" s="133"/>
      <c r="BM204" s="147" t="s">
        <v>754</v>
      </c>
      <c r="BN204" s="148"/>
      <c r="BO204" s="64">
        <f>VLOOKUP(G15,BB119:BC121,2,FALSE)</f>
        <v>0</v>
      </c>
      <c r="BP204" s="61"/>
      <c r="BQ204" s="61"/>
      <c r="BR204" s="61"/>
      <c r="BS204" s="61"/>
      <c r="BT204" s="61"/>
      <c r="BU204" s="61"/>
      <c r="BV204" s="80"/>
      <c r="BX204" s="133">
        <v>19.5</v>
      </c>
      <c r="BY204" s="133">
        <v>100</v>
      </c>
      <c r="BZ204" s="133">
        <v>250</v>
      </c>
      <c r="CA204" s="133">
        <v>65</v>
      </c>
      <c r="CB204" s="133" t="s">
        <v>263</v>
      </c>
      <c r="CC204" s="57" t="s">
        <v>57</v>
      </c>
      <c r="CD204" s="57">
        <v>7</v>
      </c>
    </row>
    <row r="205" spans="38:82" x14ac:dyDescent="0.25">
      <c r="AL205" s="133"/>
      <c r="BM205" s="147" t="s">
        <v>741</v>
      </c>
      <c r="BN205" s="148"/>
      <c r="BO205" s="130">
        <f>VLOOKUP(BO204,BM207:BN209,2,FALSE)</f>
        <v>3.5542968749999999</v>
      </c>
      <c r="BP205" s="61"/>
      <c r="BQ205" s="61"/>
      <c r="BR205" s="61"/>
      <c r="BS205" s="61"/>
      <c r="BT205" s="61"/>
      <c r="BU205" s="61"/>
      <c r="BV205" s="80"/>
      <c r="BX205" s="133">
        <v>20</v>
      </c>
      <c r="BY205" s="133">
        <v>105</v>
      </c>
      <c r="BZ205" s="133">
        <v>250</v>
      </c>
      <c r="CA205" s="133">
        <v>65</v>
      </c>
      <c r="CB205" s="133" t="s">
        <v>264</v>
      </c>
      <c r="CC205" s="57" t="s">
        <v>57</v>
      </c>
      <c r="CD205" s="57">
        <v>8</v>
      </c>
    </row>
    <row r="206" spans="38:82" x14ac:dyDescent="0.25">
      <c r="AL206" s="133"/>
      <c r="BM206" s="147" t="s">
        <v>773</v>
      </c>
      <c r="BN206" s="148"/>
      <c r="BO206" s="61"/>
      <c r="BP206" s="61"/>
      <c r="BQ206" s="61"/>
      <c r="BR206" s="61"/>
      <c r="BS206" s="61"/>
      <c r="BT206" s="61"/>
      <c r="BU206" s="61"/>
      <c r="BV206" s="80"/>
      <c r="BX206" s="133">
        <v>20.5</v>
      </c>
      <c r="BY206" s="133">
        <v>110</v>
      </c>
      <c r="BZ206" s="133">
        <v>250</v>
      </c>
      <c r="CA206" s="133">
        <v>65</v>
      </c>
      <c r="CB206" s="133" t="s">
        <v>265</v>
      </c>
      <c r="CC206" s="57" t="s">
        <v>57</v>
      </c>
      <c r="CD206" s="57">
        <v>9</v>
      </c>
    </row>
    <row r="207" spans="38:82" x14ac:dyDescent="0.25">
      <c r="AL207" s="133"/>
      <c r="BM207" s="114">
        <v>-0.5</v>
      </c>
      <c r="BN207" s="130">
        <f>IF(BO186&lt;0%,((BO188+((BO189-BO188)*ABS(BO186)))),((BO188-((BO188-BO189)*ABS(BO186)))))</f>
        <v>1.85625</v>
      </c>
      <c r="BO207" s="61"/>
      <c r="BP207" s="61"/>
      <c r="BQ207" s="61"/>
      <c r="BR207" s="61"/>
      <c r="BS207" s="61"/>
      <c r="BT207" s="61"/>
      <c r="BU207" s="61"/>
      <c r="BV207" s="80"/>
      <c r="BX207" s="133">
        <v>21</v>
      </c>
      <c r="BY207" s="133">
        <v>115</v>
      </c>
      <c r="BZ207" s="133">
        <v>250</v>
      </c>
      <c r="CA207" s="133">
        <v>65</v>
      </c>
      <c r="CB207" s="133" t="s">
        <v>266</v>
      </c>
      <c r="CC207" s="57" t="s">
        <v>58</v>
      </c>
      <c r="CD207" s="57">
        <v>10</v>
      </c>
    </row>
    <row r="208" spans="38:82" ht="15.75" thickBot="1" x14ac:dyDescent="0.3">
      <c r="AL208" s="133"/>
      <c r="BM208" s="116">
        <v>0</v>
      </c>
      <c r="BN208" s="132">
        <f>IF(BO196=FALSE,((BO197+((BO198-BO197)*ABS(BO194)))),((BO197-((BO197-BO198)*ABS(BO194)))))</f>
        <v>3.5542968749999999</v>
      </c>
      <c r="BO208" s="95"/>
      <c r="BP208" s="95"/>
      <c r="BQ208" s="95"/>
      <c r="BR208" s="95"/>
      <c r="BS208" s="95"/>
      <c r="BT208" s="95"/>
      <c r="BU208" s="95"/>
      <c r="BV208" s="96"/>
      <c r="BX208" s="133">
        <v>21.5</v>
      </c>
      <c r="BY208" s="133">
        <v>120</v>
      </c>
      <c r="BZ208" s="133">
        <v>250</v>
      </c>
      <c r="CA208" s="133">
        <v>65</v>
      </c>
      <c r="CB208" s="133" t="s">
        <v>267</v>
      </c>
      <c r="CC208" s="57" t="s">
        <v>58</v>
      </c>
      <c r="CD208" s="57">
        <v>11</v>
      </c>
    </row>
    <row r="209" spans="17:82" ht="15.75" thickBot="1" x14ac:dyDescent="0.3">
      <c r="AL209" s="133"/>
      <c r="BM209" s="114">
        <v>0.5</v>
      </c>
      <c r="BN209" s="130">
        <f>IF(BO186&lt;0%,((BO201-((BO201-BO202)*ABS(BO186)))),((BO201+((BO202-BO201)*ABS(BO186)))))</f>
        <v>4.8937499999999998</v>
      </c>
      <c r="BO209" s="61"/>
      <c r="BP209" s="95"/>
      <c r="BT209" s="95"/>
      <c r="BU209" s="95"/>
      <c r="BV209" s="96"/>
      <c r="BX209" s="133">
        <v>22</v>
      </c>
      <c r="BY209" s="133">
        <v>125</v>
      </c>
      <c r="BZ209" s="133">
        <v>250</v>
      </c>
      <c r="CA209" s="133">
        <v>65</v>
      </c>
      <c r="CB209" s="133" t="s">
        <v>268</v>
      </c>
      <c r="CC209" s="57" t="s">
        <v>58</v>
      </c>
      <c r="CD209" s="57">
        <v>12</v>
      </c>
    </row>
    <row r="210" spans="17:82" ht="15.75" thickBot="1" x14ac:dyDescent="0.3">
      <c r="T210" s="61"/>
      <c r="U210" s="149" t="s">
        <v>795</v>
      </c>
      <c r="V210" s="149"/>
      <c r="W210" s="149"/>
      <c r="X210" s="149"/>
      <c r="Y210" s="149"/>
      <c r="Z210" s="149"/>
      <c r="AA210" s="149"/>
      <c r="AB210" s="130"/>
      <c r="AC210" s="149" t="s">
        <v>796</v>
      </c>
      <c r="AD210" s="149"/>
      <c r="AE210" s="149"/>
      <c r="AF210" s="149"/>
      <c r="AG210" s="149"/>
      <c r="AH210" s="149"/>
      <c r="AI210" s="149"/>
      <c r="AJ210" s="149"/>
      <c r="AL210" s="149" t="s">
        <v>797</v>
      </c>
      <c r="AM210" s="149"/>
      <c r="AN210" s="149"/>
      <c r="AO210" s="149"/>
      <c r="AP210" s="149"/>
      <c r="AQ210" s="149"/>
      <c r="AR210" s="149"/>
      <c r="AS210" s="149"/>
      <c r="AT210" s="149"/>
      <c r="AU210" s="149"/>
      <c r="AV210" s="149"/>
      <c r="AW210" s="149"/>
      <c r="BB210" s="149" t="s">
        <v>798</v>
      </c>
      <c r="BC210" s="149"/>
      <c r="BD210" s="149"/>
      <c r="BE210" s="149"/>
      <c r="BF210" s="149"/>
      <c r="BG210" s="149"/>
      <c r="BH210" s="149"/>
      <c r="BI210" s="149"/>
      <c r="BJ210" s="149"/>
      <c r="BK210" s="149"/>
      <c r="BM210" s="150" t="s">
        <v>799</v>
      </c>
      <c r="BN210" s="150"/>
      <c r="BO210" s="150"/>
      <c r="BP210" s="150"/>
      <c r="BQ210" s="150"/>
      <c r="BR210" s="150"/>
      <c r="BS210" s="150"/>
      <c r="BT210" s="150"/>
      <c r="BU210" s="150"/>
      <c r="BV210" s="150"/>
      <c r="BX210" s="133">
        <v>22.5</v>
      </c>
      <c r="BY210" s="133">
        <v>130</v>
      </c>
      <c r="BZ210" s="133">
        <v>250</v>
      </c>
      <c r="CA210" s="133">
        <v>65</v>
      </c>
      <c r="CB210" s="133" t="s">
        <v>269</v>
      </c>
      <c r="CC210" s="57" t="s">
        <v>59</v>
      </c>
      <c r="CD210" s="57">
        <v>13</v>
      </c>
    </row>
    <row r="211" spans="17:82" x14ac:dyDescent="0.25">
      <c r="T211" s="61"/>
      <c r="U211" s="135" t="s">
        <v>1</v>
      </c>
      <c r="V211" s="136" t="s">
        <v>17</v>
      </c>
      <c r="W211" s="136"/>
      <c r="X211" s="136" t="s">
        <v>2</v>
      </c>
      <c r="Y211" s="136" t="s">
        <v>17</v>
      </c>
      <c r="Z211" s="136"/>
      <c r="AA211" s="137"/>
      <c r="AB211" s="130"/>
      <c r="AC211" s="151" t="s">
        <v>777</v>
      </c>
      <c r="AD211" s="152"/>
      <c r="AE211" s="152"/>
      <c r="AF211" s="152"/>
      <c r="AG211" s="152"/>
      <c r="AH211" s="152"/>
      <c r="AI211" s="152"/>
      <c r="AJ211" s="153"/>
      <c r="AL211" s="151" t="s">
        <v>777</v>
      </c>
      <c r="AM211" s="152"/>
      <c r="AN211" s="152"/>
      <c r="AO211" s="152"/>
      <c r="AP211" s="152"/>
      <c r="AQ211" s="152"/>
      <c r="AR211" s="152"/>
      <c r="AS211" s="152"/>
      <c r="AT211" s="152"/>
      <c r="AU211" s="152"/>
      <c r="AV211" s="152"/>
      <c r="AW211" s="153"/>
      <c r="AY211" s="135" t="s">
        <v>18</v>
      </c>
      <c r="AZ211" s="137" t="s">
        <v>17</v>
      </c>
      <c r="BA211" s="133"/>
      <c r="BB211" s="151" t="s">
        <v>777</v>
      </c>
      <c r="BC211" s="152"/>
      <c r="BD211" s="152"/>
      <c r="BE211" s="152"/>
      <c r="BF211" s="152"/>
      <c r="BG211" s="152"/>
      <c r="BH211" s="152"/>
      <c r="BI211" s="152"/>
      <c r="BJ211" s="107"/>
      <c r="BK211" s="108"/>
      <c r="BM211" s="135" t="s">
        <v>25</v>
      </c>
      <c r="BN211" s="136" t="s">
        <v>17</v>
      </c>
      <c r="BO211" s="136" t="s">
        <v>13</v>
      </c>
      <c r="BP211" s="136" t="s">
        <v>17</v>
      </c>
      <c r="BQ211" s="136"/>
      <c r="BR211" s="136"/>
      <c r="BS211" s="136"/>
      <c r="BT211" s="136"/>
      <c r="BU211" s="136"/>
      <c r="BV211" s="137"/>
      <c r="BX211" s="133">
        <v>23</v>
      </c>
      <c r="BY211" s="133">
        <v>135</v>
      </c>
      <c r="BZ211" s="133">
        <v>250</v>
      </c>
      <c r="CA211" s="133">
        <v>65</v>
      </c>
      <c r="CB211" s="133" t="s">
        <v>270</v>
      </c>
      <c r="CC211" s="57" t="s">
        <v>59</v>
      </c>
      <c r="CD211" s="57">
        <v>14</v>
      </c>
    </row>
    <row r="212" spans="17:82" x14ac:dyDescent="0.25">
      <c r="T212" s="61"/>
      <c r="U212" s="129">
        <v>10</v>
      </c>
      <c r="V212" s="130">
        <v>5</v>
      </c>
      <c r="W212" s="130"/>
      <c r="X212" s="130">
        <v>100</v>
      </c>
      <c r="Y212" s="130">
        <v>35</v>
      </c>
      <c r="Z212" s="130"/>
      <c r="AA212" s="63"/>
      <c r="AB212" s="130"/>
      <c r="AC212" s="129" t="s">
        <v>4</v>
      </c>
      <c r="AD212" s="130" t="s">
        <v>17</v>
      </c>
      <c r="AE212" s="130" t="s">
        <v>6</v>
      </c>
      <c r="AF212" s="130" t="s">
        <v>17</v>
      </c>
      <c r="AG212" s="130"/>
      <c r="AH212" s="130"/>
      <c r="AI212" s="130"/>
      <c r="AJ212" s="63"/>
      <c r="AL212" s="129" t="s">
        <v>9</v>
      </c>
      <c r="AM212" s="130" t="s">
        <v>17</v>
      </c>
      <c r="AN212" s="130" t="s">
        <v>10</v>
      </c>
      <c r="AO212" s="130" t="s">
        <v>17</v>
      </c>
      <c r="AP212" s="130" t="s">
        <v>42</v>
      </c>
      <c r="AQ212" s="130" t="s">
        <v>17</v>
      </c>
      <c r="AR212" s="130"/>
      <c r="AS212" s="130"/>
      <c r="AT212" s="130"/>
      <c r="AU212" s="130"/>
      <c r="AV212" s="130"/>
      <c r="AW212" s="63"/>
      <c r="AY212" s="73" t="s">
        <v>715</v>
      </c>
      <c r="AZ212" s="72">
        <v>0.1</v>
      </c>
      <c r="BA212" s="74"/>
      <c r="BB212" s="129" t="s">
        <v>779</v>
      </c>
      <c r="BC212" s="130" t="s">
        <v>17</v>
      </c>
      <c r="BD212" s="130" t="s">
        <v>9</v>
      </c>
      <c r="BE212" s="130" t="s">
        <v>17</v>
      </c>
      <c r="BF212" s="130"/>
      <c r="BG212" s="130"/>
      <c r="BH212" s="130"/>
      <c r="BI212" s="130"/>
      <c r="BJ212" s="130" t="s">
        <v>23</v>
      </c>
      <c r="BK212" s="63" t="s">
        <v>17</v>
      </c>
      <c r="BM212" s="76">
        <v>2.46</v>
      </c>
      <c r="BN212" s="75">
        <v>1</v>
      </c>
      <c r="BO212" s="77">
        <v>0</v>
      </c>
      <c r="BP212" s="75">
        <v>-1</v>
      </c>
      <c r="BQ212" s="109"/>
      <c r="BR212" s="75"/>
      <c r="BS212" s="77"/>
      <c r="BT212" s="75"/>
      <c r="BU212" s="77"/>
      <c r="BV212" s="78"/>
      <c r="BX212" s="133">
        <v>23.5</v>
      </c>
      <c r="BY212" s="133">
        <v>140</v>
      </c>
      <c r="BZ212" s="133">
        <v>250</v>
      </c>
      <c r="CA212" s="133">
        <v>65</v>
      </c>
      <c r="CB212" s="133" t="s">
        <v>271</v>
      </c>
      <c r="CC212" s="57" t="s">
        <v>59</v>
      </c>
      <c r="CD212" s="57">
        <v>15</v>
      </c>
    </row>
    <row r="213" spans="17:82" x14ac:dyDescent="0.25">
      <c r="T213" s="61"/>
      <c r="U213" s="129">
        <v>10.5</v>
      </c>
      <c r="V213" s="130">
        <v>10</v>
      </c>
      <c r="W213" s="130"/>
      <c r="X213" s="130">
        <v>125</v>
      </c>
      <c r="Y213" s="130">
        <v>40</v>
      </c>
      <c r="Z213" s="130"/>
      <c r="AA213" s="63"/>
      <c r="AB213" s="130"/>
      <c r="AC213" s="129">
        <v>0</v>
      </c>
      <c r="AD213" s="64">
        <v>0.9</v>
      </c>
      <c r="AE213" s="130">
        <v>5</v>
      </c>
      <c r="AF213" s="65">
        <v>1</v>
      </c>
      <c r="AG213" s="130"/>
      <c r="AH213" s="64"/>
      <c r="AI213" s="130"/>
      <c r="AJ213" s="99"/>
      <c r="AL213" s="68">
        <v>30</v>
      </c>
      <c r="AM213" s="69">
        <v>1</v>
      </c>
      <c r="AN213" s="61">
        <v>15</v>
      </c>
      <c r="AO213" s="71">
        <v>0.9</v>
      </c>
      <c r="AP213" s="130" t="s">
        <v>48</v>
      </c>
      <c r="AQ213" s="69">
        <v>-0.9</v>
      </c>
      <c r="AR213" s="61"/>
      <c r="AS213" s="69"/>
      <c r="AT213" s="61"/>
      <c r="AU213" s="71"/>
      <c r="AV213" s="130"/>
      <c r="AW213" s="72"/>
      <c r="AY213" s="73" t="s">
        <v>711</v>
      </c>
      <c r="AZ213" s="72">
        <v>0.3</v>
      </c>
      <c r="BA213" s="74"/>
      <c r="BB213" s="129" t="s">
        <v>788</v>
      </c>
      <c r="BC213" s="64">
        <v>0.5</v>
      </c>
      <c r="BD213" s="130" t="s">
        <v>20</v>
      </c>
      <c r="BE213" s="64">
        <v>0.8</v>
      </c>
      <c r="BF213" s="130"/>
      <c r="BG213" s="64"/>
      <c r="BH213" s="130"/>
      <c r="BI213" s="64"/>
      <c r="BJ213" s="130" t="s">
        <v>7</v>
      </c>
      <c r="BK213" s="63" t="b">
        <v>1</v>
      </c>
      <c r="BM213" s="76">
        <v>2.4700000000000002</v>
      </c>
      <c r="BN213" s="75">
        <v>0.9</v>
      </c>
      <c r="BO213" s="77">
        <v>1E-3</v>
      </c>
      <c r="BP213" s="75">
        <v>-1</v>
      </c>
      <c r="BQ213" s="109"/>
      <c r="BR213" s="75"/>
      <c r="BS213" s="77"/>
      <c r="BT213" s="75"/>
      <c r="BU213" s="77"/>
      <c r="BV213" s="78"/>
      <c r="BX213" s="133">
        <v>24</v>
      </c>
      <c r="BY213" s="133">
        <v>145</v>
      </c>
      <c r="BZ213" s="133">
        <v>250</v>
      </c>
      <c r="CA213" s="133">
        <v>65</v>
      </c>
      <c r="CB213" s="133" t="s">
        <v>272</v>
      </c>
      <c r="CC213" s="57" t="s">
        <v>59</v>
      </c>
      <c r="CD213" s="57">
        <v>16</v>
      </c>
    </row>
    <row r="214" spans="17:82" ht="15.75" thickBot="1" x14ac:dyDescent="0.3">
      <c r="Q214" s="148" t="s">
        <v>794</v>
      </c>
      <c r="R214" s="148"/>
      <c r="S214" s="148"/>
      <c r="T214" s="61"/>
      <c r="U214" s="129">
        <v>11</v>
      </c>
      <c r="V214" s="130">
        <v>15</v>
      </c>
      <c r="W214" s="130"/>
      <c r="X214" s="130">
        <v>150</v>
      </c>
      <c r="Y214" s="130">
        <v>45</v>
      </c>
      <c r="Z214" s="130"/>
      <c r="AA214" s="63"/>
      <c r="AB214" s="130"/>
      <c r="AC214" s="129">
        <v>3</v>
      </c>
      <c r="AD214" s="64">
        <v>0.75</v>
      </c>
      <c r="AE214" s="130">
        <v>10</v>
      </c>
      <c r="AF214" s="65">
        <v>1</v>
      </c>
      <c r="AG214" s="130"/>
      <c r="AH214" s="64"/>
      <c r="AI214" s="130"/>
      <c r="AJ214" s="99"/>
      <c r="AL214" s="68">
        <v>31</v>
      </c>
      <c r="AM214" s="69">
        <v>1</v>
      </c>
      <c r="AN214" s="61">
        <v>16</v>
      </c>
      <c r="AO214" s="71">
        <v>0.8</v>
      </c>
      <c r="AP214" s="130" t="s">
        <v>43</v>
      </c>
      <c r="AQ214" s="69">
        <v>-0.6</v>
      </c>
      <c r="AR214" s="61"/>
      <c r="AS214" s="69"/>
      <c r="AT214" s="61"/>
      <c r="AU214" s="71"/>
      <c r="AV214" s="130"/>
      <c r="AW214" s="72"/>
      <c r="AY214" s="73" t="s">
        <v>19</v>
      </c>
      <c r="AZ214" s="72">
        <v>0.5</v>
      </c>
      <c r="BA214" s="74"/>
      <c r="BB214" s="129" t="s">
        <v>789</v>
      </c>
      <c r="BC214" s="64">
        <v>0</v>
      </c>
      <c r="BD214" s="130" t="s">
        <v>11</v>
      </c>
      <c r="BE214" s="64">
        <v>0.4</v>
      </c>
      <c r="BF214" s="130"/>
      <c r="BG214" s="64"/>
      <c r="BH214" s="130"/>
      <c r="BI214" s="64"/>
      <c r="BJ214" s="130" t="s">
        <v>24</v>
      </c>
      <c r="BK214" s="63" t="b">
        <v>0</v>
      </c>
      <c r="BM214" s="76">
        <v>2.48</v>
      </c>
      <c r="BN214" s="75">
        <v>0.75</v>
      </c>
      <c r="BO214" s="77">
        <v>2E-3</v>
      </c>
      <c r="BP214" s="75">
        <v>-1</v>
      </c>
      <c r="BQ214" s="109"/>
      <c r="BR214" s="75"/>
      <c r="BS214" s="77"/>
      <c r="BT214" s="75"/>
      <c r="BU214" s="77"/>
      <c r="BV214" s="81"/>
      <c r="BX214" s="133">
        <v>24.5</v>
      </c>
      <c r="BY214" s="133">
        <v>150</v>
      </c>
      <c r="BZ214" s="133">
        <v>250</v>
      </c>
      <c r="CA214" s="133">
        <v>65</v>
      </c>
      <c r="CB214" s="133" t="s">
        <v>273</v>
      </c>
      <c r="CC214" s="57" t="s">
        <v>59</v>
      </c>
      <c r="CD214" s="57">
        <v>17</v>
      </c>
    </row>
    <row r="215" spans="17:82" x14ac:dyDescent="0.25">
      <c r="Q215" s="151" t="s">
        <v>730</v>
      </c>
      <c r="R215" s="152"/>
      <c r="S215" s="60">
        <f>W264</f>
        <v>2.53125</v>
      </c>
      <c r="T215" s="61"/>
      <c r="U215" s="129">
        <v>11.5</v>
      </c>
      <c r="V215" s="130">
        <v>20</v>
      </c>
      <c r="W215" s="130"/>
      <c r="X215" s="130">
        <v>175</v>
      </c>
      <c r="Y215" s="130">
        <v>50</v>
      </c>
      <c r="Z215" s="130"/>
      <c r="AA215" s="63"/>
      <c r="AB215" s="130"/>
      <c r="AC215" s="129">
        <v>6</v>
      </c>
      <c r="AD215" s="64">
        <v>0.6</v>
      </c>
      <c r="AE215" s="130">
        <v>15</v>
      </c>
      <c r="AF215" s="65">
        <v>0.9</v>
      </c>
      <c r="AG215" s="130"/>
      <c r="AH215" s="64"/>
      <c r="AI215" s="130"/>
      <c r="AJ215" s="99"/>
      <c r="AL215" s="68">
        <v>32</v>
      </c>
      <c r="AM215" s="69">
        <v>1</v>
      </c>
      <c r="AN215" s="61">
        <v>17</v>
      </c>
      <c r="AO215" s="71">
        <v>0.7</v>
      </c>
      <c r="AP215" s="130" t="s">
        <v>46</v>
      </c>
      <c r="AQ215" s="69">
        <v>-0.3</v>
      </c>
      <c r="AR215" s="61"/>
      <c r="AS215" s="69"/>
      <c r="AT215" s="61"/>
      <c r="AU215" s="71"/>
      <c r="AV215" s="130"/>
      <c r="AW215" s="72"/>
      <c r="AY215" s="73" t="s">
        <v>5</v>
      </c>
      <c r="AZ215" s="72">
        <v>0.7</v>
      </c>
      <c r="BA215" s="74"/>
      <c r="BB215" s="129" t="s">
        <v>740</v>
      </c>
      <c r="BC215" s="64">
        <v>-0.5</v>
      </c>
      <c r="BD215" s="130" t="s">
        <v>19</v>
      </c>
      <c r="BE215" s="64">
        <v>0</v>
      </c>
      <c r="BF215" s="130"/>
      <c r="BG215" s="64"/>
      <c r="BH215" s="130"/>
      <c r="BI215" s="64"/>
      <c r="BJ215" s="130"/>
      <c r="BK215" s="63"/>
      <c r="BM215" s="76">
        <v>2.4900000000000002</v>
      </c>
      <c r="BN215" s="75">
        <v>0.6</v>
      </c>
      <c r="BO215" s="77">
        <v>3.0000000000000001E-3</v>
      </c>
      <c r="BP215" s="75">
        <v>-1</v>
      </c>
      <c r="BQ215" s="109"/>
      <c r="BR215" s="75"/>
      <c r="BS215" s="77"/>
      <c r="BT215" s="75"/>
      <c r="BU215" s="77"/>
      <c r="BV215" s="81"/>
      <c r="BX215" s="133">
        <v>25</v>
      </c>
      <c r="BY215" s="133">
        <v>155</v>
      </c>
      <c r="BZ215" s="133">
        <v>250</v>
      </c>
      <c r="CA215" s="133">
        <v>65</v>
      </c>
      <c r="CB215" s="133" t="s">
        <v>274</v>
      </c>
      <c r="CC215" s="57" t="s">
        <v>59</v>
      </c>
      <c r="CD215" s="57">
        <v>18</v>
      </c>
    </row>
    <row r="216" spans="17:82" ht="15.75" thickBot="1" x14ac:dyDescent="0.3">
      <c r="Q216" s="147" t="s">
        <v>731</v>
      </c>
      <c r="R216" s="148"/>
      <c r="S216" s="62">
        <f>AE253</f>
        <v>3.5775000000000001</v>
      </c>
      <c r="T216" s="61"/>
      <c r="U216" s="129">
        <v>12</v>
      </c>
      <c r="V216" s="130">
        <v>25</v>
      </c>
      <c r="W216" s="130"/>
      <c r="X216" s="130">
        <v>200</v>
      </c>
      <c r="Y216" s="130">
        <v>55</v>
      </c>
      <c r="Z216" s="130"/>
      <c r="AA216" s="63"/>
      <c r="AB216" s="130"/>
      <c r="AC216" s="129">
        <v>9</v>
      </c>
      <c r="AD216" s="64">
        <v>0.45</v>
      </c>
      <c r="AE216" s="130">
        <v>20</v>
      </c>
      <c r="AF216" s="65">
        <v>0.75</v>
      </c>
      <c r="AG216" s="130"/>
      <c r="AH216" s="64"/>
      <c r="AI216" s="130"/>
      <c r="AJ216" s="99"/>
      <c r="AL216" s="68">
        <v>33</v>
      </c>
      <c r="AM216" s="69">
        <v>1</v>
      </c>
      <c r="AN216" s="61">
        <v>18</v>
      </c>
      <c r="AO216" s="71">
        <v>0.6</v>
      </c>
      <c r="AP216" s="130" t="s">
        <v>44</v>
      </c>
      <c r="AQ216" s="69">
        <v>0</v>
      </c>
      <c r="AR216" s="61"/>
      <c r="AS216" s="69"/>
      <c r="AT216" s="61"/>
      <c r="AU216" s="71"/>
      <c r="AV216" s="130"/>
      <c r="AW216" s="72"/>
      <c r="AY216" s="83" t="s">
        <v>716</v>
      </c>
      <c r="AZ216" s="84">
        <v>0.9</v>
      </c>
      <c r="BA216" s="74"/>
      <c r="BB216" s="129"/>
      <c r="BC216" s="64"/>
      <c r="BD216" s="130" t="s">
        <v>21</v>
      </c>
      <c r="BE216" s="64">
        <v>-0.4</v>
      </c>
      <c r="BF216" s="130"/>
      <c r="BG216" s="64"/>
      <c r="BH216" s="130"/>
      <c r="BI216" s="64"/>
      <c r="BJ216" s="130"/>
      <c r="BK216" s="63"/>
      <c r="BM216" s="76">
        <v>2.5</v>
      </c>
      <c r="BN216" s="75">
        <v>0.45</v>
      </c>
      <c r="BO216" s="77">
        <v>4.0000000000000001E-3</v>
      </c>
      <c r="BP216" s="75">
        <v>-1</v>
      </c>
      <c r="BQ216" s="109"/>
      <c r="BR216" s="75"/>
      <c r="BS216" s="77"/>
      <c r="BT216" s="75"/>
      <c r="BU216" s="77"/>
      <c r="BV216" s="81"/>
      <c r="BX216" s="133">
        <v>10</v>
      </c>
      <c r="BY216" s="133">
        <v>5</v>
      </c>
      <c r="BZ216" s="133">
        <v>275</v>
      </c>
      <c r="CA216" s="133">
        <v>70</v>
      </c>
      <c r="CB216" s="133" t="s">
        <v>275</v>
      </c>
      <c r="CC216" s="57" t="s">
        <v>64</v>
      </c>
      <c r="CD216" s="57">
        <v>-13</v>
      </c>
    </row>
    <row r="217" spans="17:82" x14ac:dyDescent="0.25">
      <c r="Q217" s="147" t="s">
        <v>732</v>
      </c>
      <c r="R217" s="148"/>
      <c r="S217" s="62">
        <f>(AP263)</f>
        <v>3.3328125000000002</v>
      </c>
      <c r="T217" s="61"/>
      <c r="U217" s="129">
        <v>12.5</v>
      </c>
      <c r="V217" s="130">
        <v>30</v>
      </c>
      <c r="W217" s="130"/>
      <c r="X217" s="130">
        <v>225</v>
      </c>
      <c r="Y217" s="130">
        <v>60</v>
      </c>
      <c r="Z217" s="130"/>
      <c r="AA217" s="63"/>
      <c r="AB217" s="130"/>
      <c r="AC217" s="129">
        <v>12</v>
      </c>
      <c r="AD217" s="64">
        <v>0.3</v>
      </c>
      <c r="AE217" s="130">
        <v>25</v>
      </c>
      <c r="AF217" s="65">
        <v>0.6</v>
      </c>
      <c r="AG217" s="130"/>
      <c r="AH217" s="64"/>
      <c r="AI217" s="130"/>
      <c r="AJ217" s="99"/>
      <c r="AL217" s="68">
        <v>34</v>
      </c>
      <c r="AM217" s="69">
        <v>1</v>
      </c>
      <c r="AN217" s="61">
        <v>19</v>
      </c>
      <c r="AO217" s="71">
        <v>0.5</v>
      </c>
      <c r="AP217" s="130" t="s">
        <v>49</v>
      </c>
      <c r="AQ217" s="69">
        <v>0.3</v>
      </c>
      <c r="AR217" s="61"/>
      <c r="AS217" s="69"/>
      <c r="AT217" s="61"/>
      <c r="AU217" s="71"/>
      <c r="AV217" s="130"/>
      <c r="AW217" s="72"/>
      <c r="AY217" s="69"/>
      <c r="BB217" s="129"/>
      <c r="BC217" s="64"/>
      <c r="BD217" s="130" t="s">
        <v>22</v>
      </c>
      <c r="BE217" s="64">
        <v>-0.8</v>
      </c>
      <c r="BF217" s="130"/>
      <c r="BG217" s="64"/>
      <c r="BH217" s="130"/>
      <c r="BI217" s="64"/>
      <c r="BJ217" s="130"/>
      <c r="BK217" s="63"/>
      <c r="BM217" s="76">
        <v>2.5099999999999998</v>
      </c>
      <c r="BN217" s="75">
        <v>0.3</v>
      </c>
      <c r="BO217" s="77">
        <v>5.0000000000000001E-3</v>
      </c>
      <c r="BP217" s="75">
        <v>-1</v>
      </c>
      <c r="BQ217" s="109"/>
      <c r="BR217" s="75"/>
      <c r="BS217" s="77"/>
      <c r="BT217" s="75"/>
      <c r="BU217" s="77"/>
      <c r="BV217" s="81"/>
      <c r="BX217" s="133">
        <v>10.5</v>
      </c>
      <c r="BY217" s="133">
        <v>10</v>
      </c>
      <c r="BZ217" s="133">
        <v>275</v>
      </c>
      <c r="CA217" s="133">
        <v>70</v>
      </c>
      <c r="CB217" s="133" t="s">
        <v>276</v>
      </c>
      <c r="CC217" s="57" t="s">
        <v>63</v>
      </c>
      <c r="CD217" s="57">
        <v>-12</v>
      </c>
    </row>
    <row r="218" spans="17:82" x14ac:dyDescent="0.25">
      <c r="Q218" s="147" t="s">
        <v>41</v>
      </c>
      <c r="R218" s="148"/>
      <c r="S218" s="62">
        <f>BD241</f>
        <v>3.375</v>
      </c>
      <c r="T218" s="61"/>
      <c r="U218" s="129">
        <v>13</v>
      </c>
      <c r="V218" s="130">
        <v>35</v>
      </c>
      <c r="W218" s="130"/>
      <c r="X218" s="130">
        <v>250</v>
      </c>
      <c r="Y218" s="130">
        <v>65</v>
      </c>
      <c r="Z218" s="130"/>
      <c r="AA218" s="63"/>
      <c r="AB218" s="130"/>
      <c r="AC218" s="129">
        <v>15</v>
      </c>
      <c r="AD218" s="64">
        <v>0.15</v>
      </c>
      <c r="AE218" s="130">
        <v>30</v>
      </c>
      <c r="AF218" s="65">
        <v>0.45</v>
      </c>
      <c r="AG218" s="130"/>
      <c r="AH218" s="64"/>
      <c r="AI218" s="130"/>
      <c r="AJ218" s="99"/>
      <c r="AL218" s="68">
        <v>35</v>
      </c>
      <c r="AM218" s="69">
        <v>1</v>
      </c>
      <c r="AN218" s="61">
        <v>20</v>
      </c>
      <c r="AO218" s="71">
        <v>0.4</v>
      </c>
      <c r="AP218" s="130" t="s">
        <v>45</v>
      </c>
      <c r="AQ218" s="69">
        <v>0.6</v>
      </c>
      <c r="AR218" s="61"/>
      <c r="AS218" s="69"/>
      <c r="AT218" s="61"/>
      <c r="AU218" s="71"/>
      <c r="AV218" s="130"/>
      <c r="AW218" s="72"/>
      <c r="AY218" s="69"/>
      <c r="BB218" s="68"/>
      <c r="BC218" s="61"/>
      <c r="BD218" s="61"/>
      <c r="BE218" s="61"/>
      <c r="BF218" s="61"/>
      <c r="BG218" s="61"/>
      <c r="BH218" s="61"/>
      <c r="BI218" s="61"/>
      <c r="BJ218" s="61"/>
      <c r="BK218" s="80"/>
      <c r="BM218" s="76">
        <v>2.52</v>
      </c>
      <c r="BN218" s="75">
        <v>0.15</v>
      </c>
      <c r="BO218" s="77">
        <v>6.0000000000000001E-3</v>
      </c>
      <c r="BP218" s="75">
        <v>-1</v>
      </c>
      <c r="BQ218" s="109"/>
      <c r="BR218" s="75"/>
      <c r="BS218" s="77"/>
      <c r="BT218" s="75"/>
      <c r="BU218" s="77"/>
      <c r="BV218" s="81"/>
      <c r="BX218" s="133">
        <v>11</v>
      </c>
      <c r="BY218" s="133">
        <v>15</v>
      </c>
      <c r="BZ218" s="133">
        <v>275</v>
      </c>
      <c r="CA218" s="133">
        <v>70</v>
      </c>
      <c r="CB218" s="133" t="s">
        <v>277</v>
      </c>
      <c r="CC218" s="57" t="s">
        <v>63</v>
      </c>
      <c r="CD218" s="57">
        <v>-11</v>
      </c>
    </row>
    <row r="219" spans="17:82" x14ac:dyDescent="0.25">
      <c r="Q219" s="147" t="s">
        <v>733</v>
      </c>
      <c r="R219" s="148"/>
      <c r="S219" s="62">
        <f>BO297</f>
        <v>2.6156249999999996</v>
      </c>
      <c r="T219" s="61"/>
      <c r="U219" s="129">
        <v>13.5</v>
      </c>
      <c r="V219" s="130">
        <v>40</v>
      </c>
      <c r="W219" s="130"/>
      <c r="X219" s="130">
        <v>275</v>
      </c>
      <c r="Y219" s="130">
        <v>70</v>
      </c>
      <c r="Z219" s="130"/>
      <c r="AA219" s="63"/>
      <c r="AB219" s="130"/>
      <c r="AC219" s="129">
        <v>18</v>
      </c>
      <c r="AD219" s="64">
        <v>0</v>
      </c>
      <c r="AE219" s="130">
        <v>35</v>
      </c>
      <c r="AF219" s="65">
        <v>0.3</v>
      </c>
      <c r="AG219" s="130"/>
      <c r="AH219" s="64"/>
      <c r="AI219" s="130"/>
      <c r="AJ219" s="99"/>
      <c r="AL219" s="68">
        <v>36</v>
      </c>
      <c r="AM219" s="70">
        <v>0.8</v>
      </c>
      <c r="AN219" s="61">
        <v>21</v>
      </c>
      <c r="AO219" s="71">
        <v>0.3</v>
      </c>
      <c r="AP219" s="130" t="s">
        <v>50</v>
      </c>
      <c r="AQ219" s="69">
        <v>0.9</v>
      </c>
      <c r="AR219" s="61"/>
      <c r="AS219" s="70"/>
      <c r="AT219" s="61"/>
      <c r="AU219" s="71"/>
      <c r="AV219" s="130"/>
      <c r="AW219" s="72"/>
      <c r="AY219" s="69"/>
      <c r="BB219" s="68"/>
      <c r="BC219" s="61"/>
      <c r="BD219" s="61"/>
      <c r="BE219" s="61"/>
      <c r="BF219" s="61"/>
      <c r="BG219" s="61"/>
      <c r="BH219" s="61"/>
      <c r="BI219" s="61"/>
      <c r="BJ219" s="61"/>
      <c r="BK219" s="80"/>
      <c r="BM219" s="76">
        <v>2.5299999999999998</v>
      </c>
      <c r="BN219" s="75">
        <v>0</v>
      </c>
      <c r="BO219" s="77">
        <v>7.0000000000000001E-3</v>
      </c>
      <c r="BP219" s="75">
        <v>-1</v>
      </c>
      <c r="BQ219" s="109"/>
      <c r="BR219" s="75"/>
      <c r="BS219" s="77"/>
      <c r="BT219" s="75"/>
      <c r="BU219" s="77"/>
      <c r="BV219" s="81"/>
      <c r="BX219" s="133">
        <v>11.5</v>
      </c>
      <c r="BY219" s="133">
        <v>20</v>
      </c>
      <c r="BZ219" s="133">
        <v>275</v>
      </c>
      <c r="CA219" s="133">
        <v>70</v>
      </c>
      <c r="CB219" s="133" t="s">
        <v>278</v>
      </c>
      <c r="CC219" s="57" t="s">
        <v>63</v>
      </c>
      <c r="CD219" s="57">
        <v>-10</v>
      </c>
    </row>
    <row r="220" spans="17:82" x14ac:dyDescent="0.25">
      <c r="Q220" s="147" t="s">
        <v>741</v>
      </c>
      <c r="R220" s="148"/>
      <c r="S220" s="62">
        <f>((S215*0.3)+(S216*0.1)+(S217*0.2)+(S218*0.3)+(S219*0.1))</f>
        <v>3.0577500000000004</v>
      </c>
      <c r="T220" s="61"/>
      <c r="U220" s="129">
        <v>14</v>
      </c>
      <c r="V220" s="130">
        <v>45</v>
      </c>
      <c r="W220" s="130"/>
      <c r="X220" s="130">
        <v>300</v>
      </c>
      <c r="Y220" s="130">
        <v>75</v>
      </c>
      <c r="Z220" s="130"/>
      <c r="AA220" s="63"/>
      <c r="AB220" s="130"/>
      <c r="AC220" s="129">
        <v>21</v>
      </c>
      <c r="AD220" s="64">
        <v>-0.15</v>
      </c>
      <c r="AE220" s="130">
        <v>40</v>
      </c>
      <c r="AF220" s="65">
        <v>0.15</v>
      </c>
      <c r="AG220" s="130"/>
      <c r="AH220" s="64"/>
      <c r="AI220" s="130"/>
      <c r="AJ220" s="99"/>
      <c r="AL220" s="68">
        <v>37</v>
      </c>
      <c r="AM220" s="69">
        <v>0.6</v>
      </c>
      <c r="AN220" s="61">
        <v>22</v>
      </c>
      <c r="AO220" s="71">
        <v>0.2</v>
      </c>
      <c r="AP220" s="61"/>
      <c r="AQ220" s="71"/>
      <c r="AR220" s="61"/>
      <c r="AS220" s="69"/>
      <c r="AT220" s="61"/>
      <c r="AU220" s="71"/>
      <c r="AV220" s="61"/>
      <c r="AW220" s="110"/>
      <c r="AY220" s="69"/>
      <c r="BB220" s="147" t="s">
        <v>727</v>
      </c>
      <c r="BC220" s="148"/>
      <c r="BD220" s="148"/>
      <c r="BK220" s="80"/>
      <c r="BM220" s="76">
        <v>2.54</v>
      </c>
      <c r="BN220" s="75">
        <v>-0.15</v>
      </c>
      <c r="BO220" s="77">
        <v>8.0000000000000002E-3</v>
      </c>
      <c r="BP220" s="75">
        <v>-1</v>
      </c>
      <c r="BQ220" s="109"/>
      <c r="BR220" s="75"/>
      <c r="BS220" s="77"/>
      <c r="BT220" s="75"/>
      <c r="BU220" s="77"/>
      <c r="BV220" s="81"/>
      <c r="BX220" s="133">
        <v>12</v>
      </c>
      <c r="BY220" s="133">
        <v>25</v>
      </c>
      <c r="BZ220" s="133">
        <v>275</v>
      </c>
      <c r="CA220" s="133">
        <v>70</v>
      </c>
      <c r="CB220" s="133" t="s">
        <v>279</v>
      </c>
      <c r="CC220" s="57" t="s">
        <v>62</v>
      </c>
      <c r="CD220" s="57">
        <v>-9</v>
      </c>
    </row>
    <row r="221" spans="17:82" x14ac:dyDescent="0.25">
      <c r="Q221" s="147" t="s">
        <v>742</v>
      </c>
      <c r="R221" s="148"/>
      <c r="S221" s="62">
        <f>IF(S38+S220&gt;6.75,S220,6.75-S38)</f>
        <v>3.0577500000000004</v>
      </c>
      <c r="T221" s="61"/>
      <c r="U221" s="129">
        <v>14.5</v>
      </c>
      <c r="V221" s="130">
        <v>50</v>
      </c>
      <c r="W221" s="130"/>
      <c r="X221" s="130">
        <v>325</v>
      </c>
      <c r="Y221" s="130">
        <v>80</v>
      </c>
      <c r="Z221" s="130"/>
      <c r="AA221" s="63"/>
      <c r="AB221" s="130"/>
      <c r="AC221" s="129">
        <v>24</v>
      </c>
      <c r="AD221" s="64">
        <v>-0.3</v>
      </c>
      <c r="AE221" s="130">
        <v>45</v>
      </c>
      <c r="AF221" s="65">
        <v>0</v>
      </c>
      <c r="AG221" s="130"/>
      <c r="AH221" s="64"/>
      <c r="AI221" s="130"/>
      <c r="AJ221" s="99"/>
      <c r="AL221" s="68">
        <v>38</v>
      </c>
      <c r="AM221" s="70">
        <v>0.4</v>
      </c>
      <c r="AN221" s="61">
        <v>23</v>
      </c>
      <c r="AO221" s="71">
        <v>0.1</v>
      </c>
      <c r="AP221" s="61"/>
      <c r="AQ221" s="71"/>
      <c r="AR221" s="61"/>
      <c r="AS221" s="70"/>
      <c r="AT221" s="61"/>
      <c r="AU221" s="71"/>
      <c r="AV221" s="61"/>
      <c r="AW221" s="110"/>
      <c r="AY221" s="69"/>
      <c r="BB221" s="147" t="s">
        <v>780</v>
      </c>
      <c r="BC221" s="148"/>
      <c r="BD221" s="64">
        <f>VLOOKUP(G15,BB213:BC215,2,FALSE)</f>
        <v>0</v>
      </c>
      <c r="BK221" s="78"/>
      <c r="BM221" s="76">
        <v>2.5499999999999998</v>
      </c>
      <c r="BN221" s="75">
        <v>-0.3</v>
      </c>
      <c r="BO221" s="77">
        <v>8.9999999999999993E-3</v>
      </c>
      <c r="BP221" s="75">
        <v>-1</v>
      </c>
      <c r="BQ221" s="109"/>
      <c r="BR221" s="75"/>
      <c r="BS221" s="77"/>
      <c r="BT221" s="75"/>
      <c r="BU221" s="77"/>
      <c r="BV221" s="81"/>
      <c r="BX221" s="133">
        <v>12.5</v>
      </c>
      <c r="BY221" s="133">
        <v>30</v>
      </c>
      <c r="BZ221" s="133">
        <v>275</v>
      </c>
      <c r="CA221" s="133">
        <v>70</v>
      </c>
      <c r="CB221" s="133" t="s">
        <v>280</v>
      </c>
      <c r="CC221" s="57" t="s">
        <v>62</v>
      </c>
      <c r="CD221" s="57">
        <v>-8</v>
      </c>
    </row>
    <row r="222" spans="17:82" x14ac:dyDescent="0.25">
      <c r="Q222" s="147" t="s">
        <v>736</v>
      </c>
      <c r="R222" s="148"/>
      <c r="S222" s="62">
        <f>S220-MOD(S220,1)</f>
        <v>3</v>
      </c>
      <c r="T222" s="61"/>
      <c r="U222" s="129">
        <v>15</v>
      </c>
      <c r="V222" s="130">
        <v>55</v>
      </c>
      <c r="W222" s="130"/>
      <c r="X222" s="130">
        <v>350</v>
      </c>
      <c r="Y222" s="130">
        <v>85</v>
      </c>
      <c r="Z222" s="130"/>
      <c r="AA222" s="63"/>
      <c r="AB222" s="130"/>
      <c r="AC222" s="129">
        <v>27</v>
      </c>
      <c r="AD222" s="64">
        <v>-0.45</v>
      </c>
      <c r="AE222" s="130">
        <v>50</v>
      </c>
      <c r="AF222" s="65">
        <v>-0.15</v>
      </c>
      <c r="AG222" s="130"/>
      <c r="AH222" s="64"/>
      <c r="AI222" s="130"/>
      <c r="AJ222" s="99"/>
      <c r="AL222" s="68">
        <v>39</v>
      </c>
      <c r="AM222" s="69">
        <v>0.2</v>
      </c>
      <c r="AN222" s="61">
        <v>24</v>
      </c>
      <c r="AO222" s="71">
        <v>0</v>
      </c>
      <c r="AP222" s="61"/>
      <c r="AQ222" s="71"/>
      <c r="AR222" s="61"/>
      <c r="AS222" s="69"/>
      <c r="AT222" s="61"/>
      <c r="AU222" s="71"/>
      <c r="AV222" s="61"/>
      <c r="AW222" s="110"/>
      <c r="AY222" s="69"/>
      <c r="BB222" s="147" t="s">
        <v>781</v>
      </c>
      <c r="BC222" s="148"/>
      <c r="BD222" s="64">
        <f>VLOOKUP(G16,BD213:BE217,2,FALSE)</f>
        <v>0</v>
      </c>
      <c r="BF222" s="148" t="s">
        <v>776</v>
      </c>
      <c r="BG222" s="148"/>
      <c r="BH222" s="130" t="s">
        <v>775</v>
      </c>
      <c r="BK222" s="78"/>
      <c r="BM222" s="76">
        <v>2.56</v>
      </c>
      <c r="BN222" s="75">
        <v>-0.45</v>
      </c>
      <c r="BO222" s="77">
        <v>0.01</v>
      </c>
      <c r="BP222" s="75">
        <v>-1</v>
      </c>
      <c r="BQ222" s="109"/>
      <c r="BR222" s="75"/>
      <c r="BS222" s="77"/>
      <c r="BT222" s="75"/>
      <c r="BU222" s="77"/>
      <c r="BV222" s="81"/>
      <c r="BX222" s="133">
        <v>13</v>
      </c>
      <c r="BY222" s="133">
        <v>35</v>
      </c>
      <c r="BZ222" s="133">
        <v>275</v>
      </c>
      <c r="CA222" s="133">
        <v>70</v>
      </c>
      <c r="CB222" s="133" t="s">
        <v>281</v>
      </c>
      <c r="CC222" s="57" t="s">
        <v>62</v>
      </c>
      <c r="CD222" s="57">
        <v>-7</v>
      </c>
    </row>
    <row r="223" spans="17:82" x14ac:dyDescent="0.25">
      <c r="Q223" s="147" t="s">
        <v>748</v>
      </c>
      <c r="R223" s="148"/>
      <c r="S223" s="62">
        <f>VLOOKUP(Q242,Q233:R241,2,FALSE)</f>
        <v>0</v>
      </c>
      <c r="T223" s="61"/>
      <c r="U223" s="129">
        <v>15.5</v>
      </c>
      <c r="V223" s="130">
        <v>60</v>
      </c>
      <c r="W223" s="130"/>
      <c r="X223" s="130">
        <v>375</v>
      </c>
      <c r="Y223" s="130">
        <v>90</v>
      </c>
      <c r="Z223" s="130"/>
      <c r="AA223" s="63"/>
      <c r="AB223" s="130"/>
      <c r="AC223" s="129">
        <v>30</v>
      </c>
      <c r="AD223" s="64">
        <v>-0.6</v>
      </c>
      <c r="AE223" s="130">
        <v>55</v>
      </c>
      <c r="AF223" s="65">
        <v>-0.3</v>
      </c>
      <c r="AG223" s="130"/>
      <c r="AH223" s="64"/>
      <c r="AI223" s="130"/>
      <c r="AJ223" s="99"/>
      <c r="AL223" s="68">
        <v>40</v>
      </c>
      <c r="AM223" s="70">
        <v>0</v>
      </c>
      <c r="AN223" s="61">
        <v>25</v>
      </c>
      <c r="AO223" s="71">
        <v>-0.1</v>
      </c>
      <c r="AP223" s="61"/>
      <c r="AQ223" s="71"/>
      <c r="AR223" s="61"/>
      <c r="AS223" s="70"/>
      <c r="AT223" s="61"/>
      <c r="AU223" s="71"/>
      <c r="AV223" s="61"/>
      <c r="AW223" s="110"/>
      <c r="AY223" s="69"/>
      <c r="BB223" s="147" t="s">
        <v>728</v>
      </c>
      <c r="BC223" s="148"/>
      <c r="BD223" s="64">
        <f>((BD221*0.5)+(BD222*0.5))</f>
        <v>0</v>
      </c>
      <c r="BF223" s="130" t="s">
        <v>784</v>
      </c>
      <c r="BG223" s="65">
        <v>0.8</v>
      </c>
      <c r="BH223" s="64">
        <v>0.9</v>
      </c>
      <c r="BK223" s="78"/>
      <c r="BM223" s="76">
        <v>2.57</v>
      </c>
      <c r="BN223" s="75">
        <v>-0.6</v>
      </c>
      <c r="BO223" s="77">
        <v>1.0999999999999999E-2</v>
      </c>
      <c r="BP223" s="75">
        <v>-1</v>
      </c>
      <c r="BQ223" s="109"/>
      <c r="BR223" s="75"/>
      <c r="BS223" s="77"/>
      <c r="BT223" s="75"/>
      <c r="BU223" s="77"/>
      <c r="BV223" s="81"/>
      <c r="BX223" s="133">
        <v>13.5</v>
      </c>
      <c r="BY223" s="133">
        <v>40</v>
      </c>
      <c r="BZ223" s="133">
        <v>275</v>
      </c>
      <c r="CA223" s="133">
        <v>70</v>
      </c>
      <c r="CB223" s="133" t="s">
        <v>282</v>
      </c>
      <c r="CC223" s="57" t="s">
        <v>61</v>
      </c>
      <c r="CD223" s="57">
        <v>-6</v>
      </c>
    </row>
    <row r="224" spans="17:82" x14ac:dyDescent="0.25">
      <c r="Q224" s="147" t="s">
        <v>744</v>
      </c>
      <c r="R224" s="148"/>
      <c r="S224" s="87">
        <f>(S222+S223)</f>
        <v>3</v>
      </c>
      <c r="T224" s="61"/>
      <c r="U224" s="129">
        <v>16</v>
      </c>
      <c r="V224" s="130">
        <v>65</v>
      </c>
      <c r="W224" s="130"/>
      <c r="X224" s="130">
        <v>400</v>
      </c>
      <c r="Y224" s="130">
        <v>95</v>
      </c>
      <c r="Z224" s="130"/>
      <c r="AA224" s="63"/>
      <c r="AB224" s="130"/>
      <c r="AC224" s="129">
        <v>33</v>
      </c>
      <c r="AD224" s="64">
        <v>-0.75</v>
      </c>
      <c r="AE224" s="130">
        <v>60</v>
      </c>
      <c r="AF224" s="65">
        <v>-0.45</v>
      </c>
      <c r="AG224" s="130"/>
      <c r="AH224" s="64"/>
      <c r="AI224" s="130"/>
      <c r="AJ224" s="99"/>
      <c r="AL224" s="68">
        <v>41</v>
      </c>
      <c r="AM224" s="69">
        <v>-0.2</v>
      </c>
      <c r="AN224" s="61">
        <v>26</v>
      </c>
      <c r="AO224" s="71">
        <v>-0.2</v>
      </c>
      <c r="AP224" s="61"/>
      <c r="AQ224" s="71"/>
      <c r="AR224" s="61"/>
      <c r="AS224" s="69"/>
      <c r="AT224" s="61"/>
      <c r="AU224" s="71"/>
      <c r="AV224" s="61"/>
      <c r="AW224" s="110"/>
      <c r="AY224" s="69"/>
      <c r="BB224" s="147" t="s">
        <v>754</v>
      </c>
      <c r="BC224" s="148"/>
      <c r="BD224" s="65">
        <f>(BC213)</f>
        <v>0.5</v>
      </c>
      <c r="BF224" s="130"/>
      <c r="BG224" s="65">
        <v>0.7</v>
      </c>
      <c r="BH224" s="64">
        <v>0.85</v>
      </c>
      <c r="BK224" s="78"/>
      <c r="BM224" s="76">
        <v>2.58</v>
      </c>
      <c r="BN224" s="75">
        <v>-0.75</v>
      </c>
      <c r="BO224" s="77">
        <v>1.2E-2</v>
      </c>
      <c r="BP224" s="75">
        <v>-1</v>
      </c>
      <c r="BQ224" s="109"/>
      <c r="BR224" s="75"/>
      <c r="BS224" s="77"/>
      <c r="BT224" s="75"/>
      <c r="BU224" s="77"/>
      <c r="BV224" s="81"/>
      <c r="BX224" s="133">
        <v>14</v>
      </c>
      <c r="BY224" s="133">
        <v>45</v>
      </c>
      <c r="BZ224" s="133">
        <v>275</v>
      </c>
      <c r="CA224" s="133">
        <v>70</v>
      </c>
      <c r="CB224" s="133" t="s">
        <v>283</v>
      </c>
      <c r="CC224" s="57" t="s">
        <v>61</v>
      </c>
      <c r="CD224" s="57">
        <v>-5</v>
      </c>
    </row>
    <row r="225" spans="17:82" x14ac:dyDescent="0.25">
      <c r="Q225" s="147" t="s">
        <v>785</v>
      </c>
      <c r="R225" s="148"/>
      <c r="S225" s="87">
        <f>(6.75-S38)</f>
        <v>1.75</v>
      </c>
      <c r="T225" s="61"/>
      <c r="U225" s="129">
        <v>16.5</v>
      </c>
      <c r="V225" s="130">
        <v>70</v>
      </c>
      <c r="W225" s="130"/>
      <c r="X225" s="130">
        <v>425</v>
      </c>
      <c r="Y225" s="130">
        <v>100</v>
      </c>
      <c r="Z225" s="130"/>
      <c r="AA225" s="63"/>
      <c r="AB225" s="130"/>
      <c r="AC225" s="129">
        <v>36</v>
      </c>
      <c r="AD225" s="64">
        <v>-0.9</v>
      </c>
      <c r="AE225" s="130">
        <v>65</v>
      </c>
      <c r="AF225" s="65">
        <v>-0.6</v>
      </c>
      <c r="AG225" s="130"/>
      <c r="AH225" s="64"/>
      <c r="AI225" s="130"/>
      <c r="AJ225" s="99"/>
      <c r="AL225" s="68">
        <v>42</v>
      </c>
      <c r="AM225" s="70">
        <v>-0.4</v>
      </c>
      <c r="AN225" s="61">
        <v>27</v>
      </c>
      <c r="AO225" s="71">
        <v>-0.3</v>
      </c>
      <c r="AP225" s="61"/>
      <c r="AQ225" s="71"/>
      <c r="AR225" s="61"/>
      <c r="AS225" s="70"/>
      <c r="AT225" s="61"/>
      <c r="AU225" s="71"/>
      <c r="AV225" s="61"/>
      <c r="AW225" s="110"/>
      <c r="AY225" s="69"/>
      <c r="BB225" s="147" t="s">
        <v>753</v>
      </c>
      <c r="BC225" s="148"/>
      <c r="BD225" s="130">
        <f>6.75-(3.375*ABS(BD236))</f>
        <v>5.0625</v>
      </c>
      <c r="BF225" s="130"/>
      <c r="BG225" s="65">
        <v>0.6</v>
      </c>
      <c r="BH225" s="64">
        <v>0.8</v>
      </c>
      <c r="BK225" s="78"/>
      <c r="BM225" s="76">
        <v>2.59</v>
      </c>
      <c r="BN225" s="75">
        <v>-0.9</v>
      </c>
      <c r="BO225" s="77">
        <v>1.2999999999999999E-2</v>
      </c>
      <c r="BP225" s="75">
        <v>-1</v>
      </c>
      <c r="BQ225" s="109"/>
      <c r="BR225" s="75"/>
      <c r="BS225" s="77"/>
      <c r="BT225" s="75"/>
      <c r="BU225" s="77"/>
      <c r="BV225" s="81"/>
      <c r="BX225" s="133">
        <v>14.5</v>
      </c>
      <c r="BY225" s="133">
        <v>50</v>
      </c>
      <c r="BZ225" s="133">
        <v>275</v>
      </c>
      <c r="CA225" s="133">
        <v>70</v>
      </c>
      <c r="CB225" s="133" t="s">
        <v>284</v>
      </c>
      <c r="CC225" s="57" t="s">
        <v>61</v>
      </c>
      <c r="CD225" s="57">
        <v>-4</v>
      </c>
    </row>
    <row r="226" spans="17:82" x14ac:dyDescent="0.25">
      <c r="Q226" s="147" t="s">
        <v>736</v>
      </c>
      <c r="R226" s="148"/>
      <c r="S226" s="62">
        <f>S221-MOD(S221,1)</f>
        <v>3</v>
      </c>
      <c r="U226" s="129">
        <v>17</v>
      </c>
      <c r="V226" s="130">
        <v>75</v>
      </c>
      <c r="W226" s="130"/>
      <c r="X226" s="130">
        <v>450</v>
      </c>
      <c r="Y226" s="130">
        <v>105</v>
      </c>
      <c r="Z226" s="130"/>
      <c r="AA226" s="63"/>
      <c r="AC226" s="129">
        <v>39</v>
      </c>
      <c r="AD226" s="64">
        <v>-1</v>
      </c>
      <c r="AE226" s="130">
        <v>70</v>
      </c>
      <c r="AF226" s="65">
        <v>-0.75</v>
      </c>
      <c r="AG226" s="130"/>
      <c r="AH226" s="64"/>
      <c r="AI226" s="130"/>
      <c r="AJ226" s="99"/>
      <c r="AL226" s="68">
        <v>43</v>
      </c>
      <c r="AM226" s="69">
        <v>-0.6</v>
      </c>
      <c r="AN226" s="61">
        <v>28</v>
      </c>
      <c r="AO226" s="71">
        <v>-0.4</v>
      </c>
      <c r="AP226" s="61"/>
      <c r="AQ226" s="71"/>
      <c r="AR226" s="61"/>
      <c r="AS226" s="69"/>
      <c r="AT226" s="61"/>
      <c r="AU226" s="71"/>
      <c r="AV226" s="61"/>
      <c r="AW226" s="110"/>
      <c r="AY226" s="69"/>
      <c r="BB226" s="147" t="s">
        <v>714</v>
      </c>
      <c r="BC226" s="148"/>
      <c r="BD226" s="130">
        <f>IF(BD223&gt;0%,6.75,3.375)</f>
        <v>3.375</v>
      </c>
      <c r="BF226" s="130"/>
      <c r="BG226" s="65">
        <v>0.5</v>
      </c>
      <c r="BH226" s="64">
        <v>0.75</v>
      </c>
      <c r="BK226" s="78"/>
      <c r="BM226" s="76">
        <v>2.6</v>
      </c>
      <c r="BN226" s="75">
        <v>-1</v>
      </c>
      <c r="BO226" s="77">
        <v>1.4E-2</v>
      </c>
      <c r="BP226" s="75">
        <v>-1</v>
      </c>
      <c r="BQ226" s="109"/>
      <c r="BR226" s="75"/>
      <c r="BS226" s="77"/>
      <c r="BT226" s="75"/>
      <c r="BU226" s="77"/>
      <c r="BV226" s="81"/>
      <c r="BX226" s="133">
        <v>15</v>
      </c>
      <c r="BY226" s="133">
        <v>55</v>
      </c>
      <c r="BZ226" s="133">
        <v>275</v>
      </c>
      <c r="CA226" s="133">
        <v>70</v>
      </c>
      <c r="CB226" s="133" t="s">
        <v>285</v>
      </c>
      <c r="CC226" s="57" t="s">
        <v>60</v>
      </c>
      <c r="CD226" s="57">
        <v>-3</v>
      </c>
    </row>
    <row r="227" spans="17:82" x14ac:dyDescent="0.25">
      <c r="Q227" s="147" t="s">
        <v>742</v>
      </c>
      <c r="R227" s="148"/>
      <c r="S227" s="63">
        <f>IF(S38+S224&gt;6.75,0,1)</f>
        <v>0</v>
      </c>
      <c r="U227" s="129">
        <v>17.5</v>
      </c>
      <c r="V227" s="130">
        <v>80</v>
      </c>
      <c r="W227" s="130"/>
      <c r="X227" s="130">
        <v>475</v>
      </c>
      <c r="Y227" s="130">
        <v>110</v>
      </c>
      <c r="Z227" s="130"/>
      <c r="AA227" s="63"/>
      <c r="AC227" s="129">
        <v>42</v>
      </c>
      <c r="AD227" s="64">
        <v>-1</v>
      </c>
      <c r="AE227" s="130">
        <v>75</v>
      </c>
      <c r="AF227" s="65">
        <v>-0.9</v>
      </c>
      <c r="AG227" s="130"/>
      <c r="AH227" s="64"/>
      <c r="AI227" s="130"/>
      <c r="AJ227" s="99"/>
      <c r="AL227" s="68">
        <v>44</v>
      </c>
      <c r="AM227" s="70">
        <v>-0.8</v>
      </c>
      <c r="AN227" s="61">
        <v>29</v>
      </c>
      <c r="AO227" s="71">
        <v>-0.5</v>
      </c>
      <c r="AP227" s="61"/>
      <c r="AQ227" s="71"/>
      <c r="AR227" s="61"/>
      <c r="AS227" s="70"/>
      <c r="AT227" s="61"/>
      <c r="AU227" s="71"/>
      <c r="AV227" s="61"/>
      <c r="AW227" s="110"/>
      <c r="AY227" s="69"/>
      <c r="BB227" s="147" t="s">
        <v>772</v>
      </c>
      <c r="BC227" s="148"/>
      <c r="BD227" s="130">
        <f>IF(BD223&lt;0%,((BD225-((BD225-BD226)*ABS(BD223)))),((BD225+((BD226-BD225)*ABS(BD223)))))</f>
        <v>5.0625</v>
      </c>
      <c r="BF227" s="130"/>
      <c r="BG227" s="65">
        <v>0.4</v>
      </c>
      <c r="BH227" s="64">
        <v>0.7</v>
      </c>
      <c r="BK227" s="78"/>
      <c r="BM227" s="76">
        <v>2.61</v>
      </c>
      <c r="BN227" s="75">
        <v>-1</v>
      </c>
      <c r="BO227" s="77">
        <v>1.4999999999999999E-2</v>
      </c>
      <c r="BP227" s="75">
        <v>-1</v>
      </c>
      <c r="BQ227" s="109"/>
      <c r="BR227" s="75"/>
      <c r="BS227" s="77"/>
      <c r="BT227" s="75"/>
      <c r="BU227" s="77"/>
      <c r="BV227" s="81"/>
      <c r="BX227" s="133">
        <v>15.5</v>
      </c>
      <c r="BY227" s="133">
        <v>60</v>
      </c>
      <c r="BZ227" s="133">
        <v>275</v>
      </c>
      <c r="CA227" s="133">
        <v>70</v>
      </c>
      <c r="CB227" s="133" t="s">
        <v>286</v>
      </c>
      <c r="CC227" s="57" t="s">
        <v>60</v>
      </c>
      <c r="CD227" s="57">
        <v>-2</v>
      </c>
    </row>
    <row r="228" spans="17:82" x14ac:dyDescent="0.25">
      <c r="Q228" s="147" t="s">
        <v>745</v>
      </c>
      <c r="R228" s="148"/>
      <c r="S228" s="87">
        <f>IF(S227=1,S225,S224)</f>
        <v>3</v>
      </c>
      <c r="U228" s="129">
        <v>18</v>
      </c>
      <c r="V228" s="130">
        <v>85</v>
      </c>
      <c r="W228" s="130"/>
      <c r="X228" s="130">
        <v>500</v>
      </c>
      <c r="Y228" s="130">
        <v>115</v>
      </c>
      <c r="Z228" s="130"/>
      <c r="AA228" s="63"/>
      <c r="AC228" s="129">
        <v>45</v>
      </c>
      <c r="AD228" s="64">
        <v>-1</v>
      </c>
      <c r="AE228" s="130">
        <v>80</v>
      </c>
      <c r="AF228" s="65">
        <v>-1</v>
      </c>
      <c r="AG228" s="130"/>
      <c r="AH228" s="64"/>
      <c r="AI228" s="130"/>
      <c r="AJ228" s="99"/>
      <c r="AL228" s="68">
        <v>45</v>
      </c>
      <c r="AM228" s="69">
        <v>-1</v>
      </c>
      <c r="AN228" s="61">
        <v>30</v>
      </c>
      <c r="AO228" s="71">
        <v>-0.6</v>
      </c>
      <c r="AP228" s="61"/>
      <c r="AQ228" s="71"/>
      <c r="AR228" s="61"/>
      <c r="AS228" s="69"/>
      <c r="AT228" s="61"/>
      <c r="AU228" s="71"/>
      <c r="AV228" s="61"/>
      <c r="AW228" s="110"/>
      <c r="BB228" s="147"/>
      <c r="BC228" s="148"/>
      <c r="BD228" s="64"/>
      <c r="BF228" s="130"/>
      <c r="BG228" s="65">
        <v>0.3</v>
      </c>
      <c r="BH228" s="64">
        <v>0.65</v>
      </c>
      <c r="BK228" s="78"/>
      <c r="BM228" s="76">
        <v>2.62</v>
      </c>
      <c r="BN228" s="75">
        <v>-1</v>
      </c>
      <c r="BO228" s="77">
        <v>1.6E-2</v>
      </c>
      <c r="BP228" s="75">
        <v>-1</v>
      </c>
      <c r="BQ228" s="109"/>
      <c r="BR228" s="75"/>
      <c r="BS228" s="77"/>
      <c r="BT228" s="75"/>
      <c r="BU228" s="77"/>
      <c r="BV228" s="81"/>
      <c r="BX228" s="133">
        <v>16</v>
      </c>
      <c r="BY228" s="133">
        <v>65</v>
      </c>
      <c r="BZ228" s="133">
        <v>275</v>
      </c>
      <c r="CA228" s="133">
        <v>70</v>
      </c>
      <c r="CB228" s="133" t="s">
        <v>287</v>
      </c>
      <c r="CC228" s="57" t="s">
        <v>60</v>
      </c>
      <c r="CD228" s="57">
        <v>-1</v>
      </c>
    </row>
    <row r="229" spans="17:82" x14ac:dyDescent="0.25">
      <c r="Q229" s="147" t="s">
        <v>804</v>
      </c>
      <c r="R229" s="148"/>
      <c r="S229" s="87">
        <f>(IF(G21&lt;0.004,S228,S132))</f>
        <v>3</v>
      </c>
      <c r="U229" s="129">
        <v>18.5</v>
      </c>
      <c r="V229" s="130">
        <v>90</v>
      </c>
      <c r="W229" s="130"/>
      <c r="X229" s="130">
        <v>525</v>
      </c>
      <c r="Y229" s="130">
        <v>120</v>
      </c>
      <c r="Z229" s="130"/>
      <c r="AA229" s="63"/>
      <c r="AC229" s="129">
        <v>48</v>
      </c>
      <c r="AD229" s="64">
        <v>-1</v>
      </c>
      <c r="AE229" s="130">
        <v>85</v>
      </c>
      <c r="AF229" s="65">
        <v>-1</v>
      </c>
      <c r="AG229" s="130"/>
      <c r="AH229" s="64"/>
      <c r="AI229" s="130"/>
      <c r="AJ229" s="99"/>
      <c r="AL229" s="68">
        <v>46</v>
      </c>
      <c r="AM229" s="69">
        <v>-1</v>
      </c>
      <c r="AN229" s="61">
        <v>31</v>
      </c>
      <c r="AO229" s="71">
        <v>-0.7</v>
      </c>
      <c r="AP229" s="61"/>
      <c r="AQ229" s="71"/>
      <c r="AR229" s="61"/>
      <c r="AS229" s="69"/>
      <c r="AT229" s="61"/>
      <c r="AU229" s="71"/>
      <c r="AV229" s="61"/>
      <c r="AW229" s="110"/>
      <c r="BB229" s="147"/>
      <c r="BC229" s="148"/>
      <c r="BD229" s="64"/>
      <c r="BF229" s="130"/>
      <c r="BG229" s="65">
        <v>0.2</v>
      </c>
      <c r="BH229" s="64">
        <v>0.6</v>
      </c>
      <c r="BK229" s="78"/>
      <c r="BM229" s="76">
        <v>2.63</v>
      </c>
      <c r="BN229" s="75">
        <v>-1</v>
      </c>
      <c r="BO229" s="77">
        <v>1.7000000000000001E-2</v>
      </c>
      <c r="BP229" s="75">
        <v>-1</v>
      </c>
      <c r="BQ229" s="109"/>
      <c r="BR229" s="75"/>
      <c r="BS229" s="77"/>
      <c r="BT229" s="75"/>
      <c r="BU229" s="77"/>
      <c r="BV229" s="81"/>
      <c r="BX229" s="133">
        <v>16.5</v>
      </c>
      <c r="BY229" s="133">
        <v>70</v>
      </c>
      <c r="BZ229" s="133">
        <v>275</v>
      </c>
      <c r="CA229" s="133">
        <v>70</v>
      </c>
      <c r="CB229" s="133" t="s">
        <v>288</v>
      </c>
      <c r="CC229" s="57" t="s">
        <v>54</v>
      </c>
      <c r="CD229" s="57">
        <v>0</v>
      </c>
    </row>
    <row r="230" spans="17:82" x14ac:dyDescent="0.25">
      <c r="Q230" s="147" t="s">
        <v>983</v>
      </c>
      <c r="R230" s="148"/>
      <c r="S230" s="87">
        <f>IF(E15="","#N/A",IF(G20="","#N/A",IF(G21="","#N/A",S229)))</f>
        <v>3</v>
      </c>
      <c r="U230" s="129">
        <v>19</v>
      </c>
      <c r="V230" s="130">
        <v>95</v>
      </c>
      <c r="W230" s="130"/>
      <c r="X230" s="130">
        <v>550</v>
      </c>
      <c r="Y230" s="130">
        <v>125</v>
      </c>
      <c r="Z230" s="130"/>
      <c r="AA230" s="63"/>
      <c r="AC230" s="129">
        <v>51</v>
      </c>
      <c r="AD230" s="64">
        <v>-1</v>
      </c>
      <c r="AE230" s="130">
        <v>90</v>
      </c>
      <c r="AF230" s="65">
        <v>-1</v>
      </c>
      <c r="AG230" s="130"/>
      <c r="AH230" s="64"/>
      <c r="AI230" s="130"/>
      <c r="AJ230" s="99"/>
      <c r="AL230" s="68">
        <v>47</v>
      </c>
      <c r="AM230" s="69">
        <v>-1</v>
      </c>
      <c r="AN230" s="61">
        <v>32</v>
      </c>
      <c r="AO230" s="71">
        <v>-0.8</v>
      </c>
      <c r="AP230" s="61"/>
      <c r="AQ230" s="71"/>
      <c r="AR230" s="61"/>
      <c r="AS230" s="69"/>
      <c r="AT230" s="61"/>
      <c r="AU230" s="71"/>
      <c r="AV230" s="61"/>
      <c r="AW230" s="110"/>
      <c r="BB230" s="147"/>
      <c r="BC230" s="148"/>
      <c r="BD230" s="64"/>
      <c r="BF230" s="130"/>
      <c r="BG230" s="65">
        <v>0.1</v>
      </c>
      <c r="BH230" s="64">
        <v>0.55000000000000004</v>
      </c>
      <c r="BK230" s="78"/>
      <c r="BM230" s="76">
        <v>2.64</v>
      </c>
      <c r="BN230" s="75">
        <v>-1</v>
      </c>
      <c r="BO230" s="77">
        <v>1.7999999999999999E-2</v>
      </c>
      <c r="BP230" s="75">
        <v>-1</v>
      </c>
      <c r="BQ230" s="109"/>
      <c r="BR230" s="75"/>
      <c r="BS230" s="77"/>
      <c r="BT230" s="75"/>
      <c r="BU230" s="77"/>
      <c r="BV230" s="81"/>
      <c r="BX230" s="133">
        <v>17</v>
      </c>
      <c r="BY230" s="133">
        <v>75</v>
      </c>
      <c r="BZ230" s="133">
        <v>275</v>
      </c>
      <c r="CA230" s="133">
        <v>70</v>
      </c>
      <c r="CB230" s="133" t="s">
        <v>289</v>
      </c>
      <c r="CC230" s="57" t="s">
        <v>55</v>
      </c>
      <c r="CD230" s="57">
        <v>1</v>
      </c>
    </row>
    <row r="231" spans="17:82" ht="15.75" thickBot="1" x14ac:dyDescent="0.3">
      <c r="Q231" s="184" t="s">
        <v>988</v>
      </c>
      <c r="R231" s="149"/>
      <c r="S231" s="89">
        <f>IF(G20/2&lt;G21,"#N/A",S230)</f>
        <v>3</v>
      </c>
      <c r="U231" s="129">
        <v>19.5</v>
      </c>
      <c r="V231" s="130">
        <v>100</v>
      </c>
      <c r="W231" s="130"/>
      <c r="X231" s="130">
        <v>575</v>
      </c>
      <c r="Y231" s="130">
        <v>130</v>
      </c>
      <c r="Z231" s="130"/>
      <c r="AA231" s="63"/>
      <c r="AC231" s="129"/>
      <c r="AD231" s="130"/>
      <c r="AE231" s="130"/>
      <c r="AF231" s="130"/>
      <c r="AG231" s="130"/>
      <c r="AH231" s="130"/>
      <c r="AI231" s="130"/>
      <c r="AJ231" s="63"/>
      <c r="AL231" s="68">
        <v>48</v>
      </c>
      <c r="AM231" s="69">
        <v>-1</v>
      </c>
      <c r="AN231" s="61">
        <v>33</v>
      </c>
      <c r="AO231" s="71">
        <v>-0.9</v>
      </c>
      <c r="AP231" s="61"/>
      <c r="AQ231" s="71"/>
      <c r="AR231" s="61"/>
      <c r="AS231" s="69"/>
      <c r="AT231" s="61"/>
      <c r="AU231" s="71"/>
      <c r="AV231" s="61"/>
      <c r="AW231" s="110"/>
      <c r="BB231" s="147" t="s">
        <v>754</v>
      </c>
      <c r="BC231" s="148"/>
      <c r="BD231" s="65">
        <f>(BC214)</f>
        <v>0</v>
      </c>
      <c r="BF231" s="130" t="s">
        <v>782</v>
      </c>
      <c r="BG231" s="65">
        <v>0</v>
      </c>
      <c r="BH231" s="64">
        <v>0.5</v>
      </c>
      <c r="BK231" s="78"/>
      <c r="BM231" s="76">
        <v>2.65</v>
      </c>
      <c r="BN231" s="75">
        <v>-1</v>
      </c>
      <c r="BO231" s="77">
        <v>1.9E-2</v>
      </c>
      <c r="BP231" s="75">
        <v>-1</v>
      </c>
      <c r="BQ231" s="109"/>
      <c r="BR231" s="75"/>
      <c r="BS231" s="77"/>
      <c r="BT231" s="75"/>
      <c r="BU231" s="77"/>
      <c r="BV231" s="81"/>
      <c r="BX231" s="133">
        <v>17.5</v>
      </c>
      <c r="BY231" s="133">
        <v>80</v>
      </c>
      <c r="BZ231" s="133">
        <v>275</v>
      </c>
      <c r="CA231" s="133">
        <v>70</v>
      </c>
      <c r="CB231" s="133" t="s">
        <v>290</v>
      </c>
      <c r="CC231" s="57" t="s">
        <v>55</v>
      </c>
      <c r="CD231" s="57">
        <v>2</v>
      </c>
    </row>
    <row r="232" spans="17:82" x14ac:dyDescent="0.25">
      <c r="Q232" s="148" t="s">
        <v>750</v>
      </c>
      <c r="R232" s="148"/>
      <c r="S232" s="148"/>
      <c r="U232" s="129">
        <v>20</v>
      </c>
      <c r="V232" s="130">
        <v>105</v>
      </c>
      <c r="W232" s="130"/>
      <c r="X232" s="130">
        <v>600</v>
      </c>
      <c r="Y232" s="130">
        <v>135</v>
      </c>
      <c r="Z232" s="130"/>
      <c r="AA232" s="63"/>
      <c r="AC232" s="147" t="s">
        <v>34</v>
      </c>
      <c r="AD232" s="148"/>
      <c r="AE232" s="130"/>
      <c r="AF232" s="130"/>
      <c r="AG232" s="130"/>
      <c r="AH232" s="130"/>
      <c r="AI232" s="130"/>
      <c r="AJ232" s="63"/>
      <c r="AL232" s="68">
        <v>49</v>
      </c>
      <c r="AM232" s="69">
        <v>-1</v>
      </c>
      <c r="AN232" s="61">
        <v>34</v>
      </c>
      <c r="AO232" s="71">
        <v>-1</v>
      </c>
      <c r="AP232" s="61"/>
      <c r="AQ232" s="71"/>
      <c r="AR232" s="61"/>
      <c r="AS232" s="69"/>
      <c r="AT232" s="61"/>
      <c r="AU232" s="71"/>
      <c r="AV232" s="61"/>
      <c r="AW232" s="110"/>
      <c r="BB232" s="147" t="s">
        <v>802</v>
      </c>
      <c r="BC232" s="148"/>
      <c r="BD232" s="111" t="str">
        <f>IF(BD223&lt;0%,"ANGULAR","CONTROL")</f>
        <v>CONTROL</v>
      </c>
      <c r="BF232" s="130"/>
      <c r="BG232" s="65">
        <v>-0.1</v>
      </c>
      <c r="BH232" s="64">
        <v>0.45</v>
      </c>
      <c r="BK232" s="78"/>
      <c r="BM232" s="76">
        <v>2.66</v>
      </c>
      <c r="BN232" s="75">
        <v>-1</v>
      </c>
      <c r="BO232" s="77">
        <v>0.02</v>
      </c>
      <c r="BP232" s="75">
        <v>-1</v>
      </c>
      <c r="BQ232" s="109"/>
      <c r="BR232" s="75"/>
      <c r="BS232" s="77"/>
      <c r="BT232" s="75"/>
      <c r="BU232" s="77"/>
      <c r="BV232" s="81"/>
      <c r="BX232" s="133">
        <v>18</v>
      </c>
      <c r="BY232" s="133">
        <v>85</v>
      </c>
      <c r="BZ232" s="133">
        <v>275</v>
      </c>
      <c r="CA232" s="133">
        <v>70</v>
      </c>
      <c r="CB232" s="133" t="s">
        <v>291</v>
      </c>
      <c r="CC232" s="57" t="s">
        <v>55</v>
      </c>
      <c r="CD232" s="57">
        <v>3</v>
      </c>
    </row>
    <row r="233" spans="17:82" x14ac:dyDescent="0.25">
      <c r="Q233" s="138">
        <f t="shared" ref="Q233:Q241" si="7">ABS(S233-R233)</f>
        <v>5.7750000000000412E-2</v>
      </c>
      <c r="R233" s="138">
        <v>0</v>
      </c>
      <c r="S233" s="138">
        <f>MOD($S$220,1)</f>
        <v>5.7750000000000412E-2</v>
      </c>
      <c r="U233" s="129">
        <v>20.5</v>
      </c>
      <c r="V233" s="130">
        <v>110</v>
      </c>
      <c r="W233" s="130"/>
      <c r="X233" s="130"/>
      <c r="Y233" s="130"/>
      <c r="Z233" s="130"/>
      <c r="AA233" s="63"/>
      <c r="AC233" s="147" t="s">
        <v>36</v>
      </c>
      <c r="AD233" s="148"/>
      <c r="AE233" s="64">
        <f>VLOOKUP(E15,AC119:AD136,2,FALSE)</f>
        <v>0.15</v>
      </c>
      <c r="AF233" s="130"/>
      <c r="AG233" s="148" t="s">
        <v>776</v>
      </c>
      <c r="AH233" s="148"/>
      <c r="AI233" s="130"/>
      <c r="AJ233" s="63"/>
      <c r="AL233" s="68">
        <v>50</v>
      </c>
      <c r="AM233" s="69">
        <v>-1</v>
      </c>
      <c r="AN233" s="61">
        <v>35</v>
      </c>
      <c r="AO233" s="71">
        <v>-1</v>
      </c>
      <c r="AP233" s="61"/>
      <c r="AQ233" s="71"/>
      <c r="AR233" s="61"/>
      <c r="AS233" s="69"/>
      <c r="AT233" s="61"/>
      <c r="AU233" s="71"/>
      <c r="AV233" s="61"/>
      <c r="AW233" s="110"/>
      <c r="BB233" s="147" t="s">
        <v>753</v>
      </c>
      <c r="BC233" s="148"/>
      <c r="BD233" s="111">
        <f>(3.375)</f>
        <v>3.375</v>
      </c>
      <c r="BF233" s="130"/>
      <c r="BG233" s="65">
        <v>-0.2</v>
      </c>
      <c r="BH233" s="64">
        <v>0.4</v>
      </c>
      <c r="BK233" s="78"/>
      <c r="BM233" s="76">
        <v>2.67</v>
      </c>
      <c r="BN233" s="75">
        <v>-1</v>
      </c>
      <c r="BO233" s="77">
        <v>2.1000000000000001E-2</v>
      </c>
      <c r="BP233" s="75">
        <v>-0.95</v>
      </c>
      <c r="BQ233" s="109"/>
      <c r="BR233" s="75"/>
      <c r="BS233" s="77"/>
      <c r="BT233" s="75"/>
      <c r="BU233" s="77"/>
      <c r="BV233" s="81"/>
      <c r="BX233" s="133">
        <v>18.5</v>
      </c>
      <c r="BY233" s="133">
        <v>90</v>
      </c>
      <c r="BZ233" s="133">
        <v>275</v>
      </c>
      <c r="CA233" s="133">
        <v>70</v>
      </c>
      <c r="CB233" s="133" t="s">
        <v>292</v>
      </c>
      <c r="CC233" s="57" t="s">
        <v>56</v>
      </c>
      <c r="CD233" s="57">
        <v>4</v>
      </c>
    </row>
    <row r="234" spans="17:82" x14ac:dyDescent="0.25">
      <c r="Q234" s="138">
        <f t="shared" si="7"/>
        <v>6.7249999999999588E-2</v>
      </c>
      <c r="R234" s="133">
        <v>0.125</v>
      </c>
      <c r="S234" s="138">
        <f t="shared" ref="S234:S241" si="8">MOD($S$220,1)</f>
        <v>5.7750000000000412E-2</v>
      </c>
      <c r="U234" s="129">
        <v>21</v>
      </c>
      <c r="V234" s="130">
        <v>115</v>
      </c>
      <c r="W234" s="130"/>
      <c r="X234" s="61"/>
      <c r="Y234" s="148" t="s">
        <v>776</v>
      </c>
      <c r="Z234" s="148"/>
      <c r="AA234" s="63" t="s">
        <v>775</v>
      </c>
      <c r="AC234" s="147" t="s">
        <v>35</v>
      </c>
      <c r="AD234" s="148"/>
      <c r="AE234" s="64">
        <f>VLOOKUP(E16,AE119:AF136,2,FALSE)</f>
        <v>-0.3</v>
      </c>
      <c r="AF234" s="130"/>
      <c r="AG234" s="61" t="s">
        <v>33</v>
      </c>
      <c r="AH234" s="91">
        <v>-1</v>
      </c>
      <c r="AI234" s="91"/>
      <c r="AJ234" s="63"/>
      <c r="AL234" s="68">
        <v>51</v>
      </c>
      <c r="AM234" s="69">
        <v>-1</v>
      </c>
      <c r="AN234" s="69"/>
      <c r="AO234" s="61"/>
      <c r="AP234" s="61"/>
      <c r="AQ234" s="61"/>
      <c r="AR234" s="61"/>
      <c r="AS234" s="69"/>
      <c r="AT234" s="69"/>
      <c r="AU234" s="61"/>
      <c r="AV234" s="61"/>
      <c r="AW234" s="80"/>
      <c r="BB234" s="147" t="s">
        <v>774</v>
      </c>
      <c r="BC234" s="148"/>
      <c r="BD234" s="130">
        <f>IF(BD232="ANGULAR",1.6875,5.0625)</f>
        <v>5.0625</v>
      </c>
      <c r="BF234" s="130"/>
      <c r="BG234" s="65">
        <v>-0.3</v>
      </c>
      <c r="BH234" s="64">
        <v>0.35</v>
      </c>
      <c r="BK234" s="78"/>
      <c r="BM234" s="76">
        <v>2.68</v>
      </c>
      <c r="BN234" s="75">
        <v>-1</v>
      </c>
      <c r="BO234" s="77">
        <v>2.1999999999999999E-2</v>
      </c>
      <c r="BP234" s="75">
        <v>-0.9</v>
      </c>
      <c r="BQ234" s="109"/>
      <c r="BR234" s="75"/>
      <c r="BS234" s="77"/>
      <c r="BT234" s="75"/>
      <c r="BU234" s="77"/>
      <c r="BV234" s="81"/>
      <c r="BX234" s="133">
        <v>19</v>
      </c>
      <c r="BY234" s="133">
        <v>95</v>
      </c>
      <c r="BZ234" s="133">
        <v>275</v>
      </c>
      <c r="CA234" s="133">
        <v>70</v>
      </c>
      <c r="CB234" s="133" t="s">
        <v>293</v>
      </c>
      <c r="CC234" s="57" t="s">
        <v>56</v>
      </c>
      <c r="CD234" s="57">
        <v>5</v>
      </c>
    </row>
    <row r="235" spans="17:82" x14ac:dyDescent="0.25">
      <c r="Q235" s="138">
        <f t="shared" si="7"/>
        <v>0.19224999999999959</v>
      </c>
      <c r="R235" s="138">
        <v>0.25</v>
      </c>
      <c r="S235" s="138">
        <f t="shared" si="8"/>
        <v>5.7750000000000412E-2</v>
      </c>
      <c r="U235" s="129">
        <v>21.5</v>
      </c>
      <c r="V235" s="130">
        <v>120</v>
      </c>
      <c r="W235" s="130"/>
      <c r="X235" s="130"/>
      <c r="Y235" s="130">
        <v>-26</v>
      </c>
      <c r="Z235" s="64">
        <v>1</v>
      </c>
      <c r="AA235" s="99">
        <v>1</v>
      </c>
      <c r="AC235" s="147" t="s">
        <v>726</v>
      </c>
      <c r="AD235" s="148"/>
      <c r="AE235" s="64">
        <f>((AE233*0.4)+(AE234*0.6))</f>
        <v>-0.12</v>
      </c>
      <c r="AF235" s="130"/>
      <c r="AG235" s="61"/>
      <c r="AH235" s="91">
        <v>-1</v>
      </c>
      <c r="AI235" s="91"/>
      <c r="AJ235" s="63"/>
      <c r="AL235" s="68">
        <v>52</v>
      </c>
      <c r="AM235" s="69">
        <v>-1</v>
      </c>
      <c r="AN235" s="70"/>
      <c r="AO235" s="61"/>
      <c r="AP235" s="61"/>
      <c r="AQ235" s="61"/>
      <c r="AR235" s="61"/>
      <c r="AS235" s="69"/>
      <c r="AT235" s="70"/>
      <c r="AU235" s="61"/>
      <c r="AV235" s="61"/>
      <c r="AW235" s="80"/>
      <c r="BB235" s="147" t="s">
        <v>770</v>
      </c>
      <c r="BC235" s="148"/>
      <c r="BD235" s="130">
        <f>IF(BD232="ANGULAR",((BD233-((BD233-BD234)*ABS(BD223)))),((BD233+(BD234-BD233)*ABS(BD223))))</f>
        <v>3.375</v>
      </c>
      <c r="BF235" s="130"/>
      <c r="BG235" s="65">
        <v>-0.4</v>
      </c>
      <c r="BH235" s="64">
        <v>0.3</v>
      </c>
      <c r="BK235" s="78"/>
      <c r="BM235" s="76">
        <v>2.69</v>
      </c>
      <c r="BN235" s="75">
        <v>-1</v>
      </c>
      <c r="BO235" s="77">
        <v>2.3E-2</v>
      </c>
      <c r="BP235" s="75">
        <v>-0.85</v>
      </c>
      <c r="BQ235" s="109"/>
      <c r="BR235" s="75"/>
      <c r="BS235" s="77"/>
      <c r="BT235" s="75"/>
      <c r="BU235" s="77"/>
      <c r="BV235" s="81"/>
      <c r="BX235" s="133">
        <v>19.5</v>
      </c>
      <c r="BY235" s="133">
        <v>100</v>
      </c>
      <c r="BZ235" s="133">
        <v>275</v>
      </c>
      <c r="CA235" s="133">
        <v>70</v>
      </c>
      <c r="CB235" s="133" t="s">
        <v>294</v>
      </c>
      <c r="CC235" s="57" t="s">
        <v>56</v>
      </c>
      <c r="CD235" s="57">
        <v>6</v>
      </c>
    </row>
    <row r="236" spans="17:82" x14ac:dyDescent="0.25">
      <c r="Q236" s="138">
        <f t="shared" si="7"/>
        <v>0.31724999999999959</v>
      </c>
      <c r="R236" s="133">
        <v>0.375</v>
      </c>
      <c r="S236" s="138">
        <f t="shared" si="8"/>
        <v>5.7750000000000412E-2</v>
      </c>
      <c r="U236" s="129">
        <v>22</v>
      </c>
      <c r="V236" s="130">
        <v>125</v>
      </c>
      <c r="W236" s="130"/>
      <c r="X236" s="61"/>
      <c r="Y236" s="130">
        <v>-25</v>
      </c>
      <c r="Z236" s="64">
        <v>1</v>
      </c>
      <c r="AA236" s="99">
        <v>1</v>
      </c>
      <c r="AC236" s="147" t="s">
        <v>754</v>
      </c>
      <c r="AD236" s="148"/>
      <c r="AE236" s="64">
        <f>(BC213)</f>
        <v>0.5</v>
      </c>
      <c r="AF236" s="130"/>
      <c r="AG236" s="61"/>
      <c r="AH236" s="91">
        <v>-1</v>
      </c>
      <c r="AI236" s="91"/>
      <c r="AJ236" s="63"/>
      <c r="AL236" s="68">
        <v>53</v>
      </c>
      <c r="AM236" s="69">
        <v>-1</v>
      </c>
      <c r="AN236" s="69"/>
      <c r="AO236" s="61"/>
      <c r="AP236" s="61"/>
      <c r="AQ236" s="61"/>
      <c r="AR236" s="61"/>
      <c r="AS236" s="69"/>
      <c r="AT236" s="69"/>
      <c r="AU236" s="61"/>
      <c r="AV236" s="61"/>
      <c r="AW236" s="80"/>
      <c r="BB236" s="147" t="s">
        <v>754</v>
      </c>
      <c r="BC236" s="148"/>
      <c r="BD236" s="65">
        <f>(BC215)</f>
        <v>-0.5</v>
      </c>
      <c r="BF236" s="130"/>
      <c r="BG236" s="65">
        <v>-0.5</v>
      </c>
      <c r="BH236" s="64">
        <v>0.25</v>
      </c>
      <c r="BK236" s="78"/>
      <c r="BM236" s="76">
        <v>2.7</v>
      </c>
      <c r="BN236" s="75">
        <v>-1</v>
      </c>
      <c r="BO236" s="77">
        <v>2.4E-2</v>
      </c>
      <c r="BP236" s="75">
        <v>-0.8</v>
      </c>
      <c r="BQ236" s="109"/>
      <c r="BR236" s="75"/>
      <c r="BS236" s="77"/>
      <c r="BT236" s="75"/>
      <c r="BU236" s="77"/>
      <c r="BV236" s="81"/>
      <c r="BX236" s="133">
        <v>20</v>
      </c>
      <c r="BY236" s="133">
        <v>105</v>
      </c>
      <c r="BZ236" s="133">
        <v>275</v>
      </c>
      <c r="CA236" s="133">
        <v>70</v>
      </c>
      <c r="CB236" s="133" t="s">
        <v>295</v>
      </c>
      <c r="CC236" s="57" t="s">
        <v>57</v>
      </c>
      <c r="CD236" s="57">
        <v>7</v>
      </c>
    </row>
    <row r="237" spans="17:82" x14ac:dyDescent="0.25">
      <c r="Q237" s="138">
        <f t="shared" si="7"/>
        <v>0.44224999999999959</v>
      </c>
      <c r="R237" s="138">
        <v>0.5</v>
      </c>
      <c r="S237" s="138">
        <f t="shared" si="8"/>
        <v>5.7750000000000412E-2</v>
      </c>
      <c r="U237" s="129">
        <v>22.5</v>
      </c>
      <c r="V237" s="130">
        <v>130</v>
      </c>
      <c r="W237" s="130"/>
      <c r="X237" s="61"/>
      <c r="Y237" s="130">
        <v>-24</v>
      </c>
      <c r="Z237" s="64">
        <v>1</v>
      </c>
      <c r="AA237" s="99">
        <v>1</v>
      </c>
      <c r="AC237" s="147" t="s">
        <v>753</v>
      </c>
      <c r="AD237" s="148"/>
      <c r="AE237" s="130">
        <f>6.75-(3.375*ABS(AE248))</f>
        <v>5.0625</v>
      </c>
      <c r="AF237" s="130"/>
      <c r="AG237" s="61"/>
      <c r="AH237" s="91">
        <v>-0.9</v>
      </c>
      <c r="AI237" s="91"/>
      <c r="AJ237" s="63"/>
      <c r="AL237" s="68">
        <v>54</v>
      </c>
      <c r="AM237" s="69">
        <v>-1</v>
      </c>
      <c r="AN237" s="70"/>
      <c r="AO237" s="61"/>
      <c r="AP237" s="61"/>
      <c r="AQ237" s="61"/>
      <c r="AR237" s="61"/>
      <c r="AS237" s="69"/>
      <c r="AT237" s="70"/>
      <c r="AU237" s="61"/>
      <c r="AV237" s="61"/>
      <c r="AW237" s="80"/>
      <c r="BB237" s="147" t="s">
        <v>753</v>
      </c>
      <c r="BC237" s="148"/>
      <c r="BD237" s="130">
        <f>0+(3.375*ABS(BD224))</f>
        <v>1.6875</v>
      </c>
      <c r="BF237" s="130"/>
      <c r="BG237" s="65">
        <v>-0.6</v>
      </c>
      <c r="BH237" s="64">
        <v>0.2</v>
      </c>
      <c r="BK237" s="78"/>
      <c r="BM237" s="76">
        <v>2.71</v>
      </c>
      <c r="BN237" s="75">
        <v>-1</v>
      </c>
      <c r="BO237" s="77">
        <v>2.5000000000000001E-2</v>
      </c>
      <c r="BP237" s="75">
        <v>-0.75</v>
      </c>
      <c r="BQ237" s="109"/>
      <c r="BR237" s="75"/>
      <c r="BS237" s="77"/>
      <c r="BT237" s="75"/>
      <c r="BU237" s="77"/>
      <c r="BV237" s="81"/>
      <c r="BX237" s="133">
        <v>20.5</v>
      </c>
      <c r="BY237" s="133">
        <v>110</v>
      </c>
      <c r="BZ237" s="133">
        <v>275</v>
      </c>
      <c r="CA237" s="133">
        <v>70</v>
      </c>
      <c r="CB237" s="133" t="s">
        <v>296</v>
      </c>
      <c r="CC237" s="57" t="s">
        <v>57</v>
      </c>
      <c r="CD237" s="57">
        <v>8</v>
      </c>
    </row>
    <row r="238" spans="17:82" x14ac:dyDescent="0.25">
      <c r="Q238" s="138">
        <f t="shared" si="7"/>
        <v>0.56724999999999959</v>
      </c>
      <c r="R238" s="133">
        <v>0.625</v>
      </c>
      <c r="S238" s="138">
        <f t="shared" si="8"/>
        <v>5.7750000000000412E-2</v>
      </c>
      <c r="U238" s="129">
        <v>23</v>
      </c>
      <c r="V238" s="130">
        <v>135</v>
      </c>
      <c r="W238" s="130"/>
      <c r="X238" s="61"/>
      <c r="Y238" s="130">
        <v>-23</v>
      </c>
      <c r="Z238" s="64">
        <v>1</v>
      </c>
      <c r="AA238" s="99">
        <v>1</v>
      </c>
      <c r="AC238" s="147" t="s">
        <v>714</v>
      </c>
      <c r="AD238" s="148"/>
      <c r="AE238" s="130">
        <f>IF(AE235&lt;0%,6.75,3.375)</f>
        <v>6.75</v>
      </c>
      <c r="AF238" s="130"/>
      <c r="AG238" s="61" t="s">
        <v>32</v>
      </c>
      <c r="AH238" s="91">
        <v>-0.75</v>
      </c>
      <c r="AI238" s="91"/>
      <c r="AJ238" s="63"/>
      <c r="AL238" s="68">
        <v>55</v>
      </c>
      <c r="AM238" s="69">
        <v>-1</v>
      </c>
      <c r="AN238" s="69"/>
      <c r="AO238" s="61"/>
      <c r="AP238" s="61"/>
      <c r="AQ238" s="61"/>
      <c r="AR238" s="61"/>
      <c r="AS238" s="69"/>
      <c r="AT238" s="69"/>
      <c r="AU238" s="61"/>
      <c r="AV238" s="61"/>
      <c r="AW238" s="80"/>
      <c r="BB238" s="147" t="s">
        <v>714</v>
      </c>
      <c r="BC238" s="148"/>
      <c r="BD238" s="130">
        <f>IF(BD223&gt;0%,3.375,0)</f>
        <v>0</v>
      </c>
      <c r="BF238" s="130"/>
      <c r="BG238" s="65">
        <v>-0.7</v>
      </c>
      <c r="BH238" s="64">
        <v>0.15</v>
      </c>
      <c r="BK238" s="78"/>
      <c r="BM238" s="76">
        <v>2.72</v>
      </c>
      <c r="BN238" s="75">
        <v>-1</v>
      </c>
      <c r="BO238" s="77">
        <v>2.5999999999999999E-2</v>
      </c>
      <c r="BP238" s="75">
        <v>-0.7</v>
      </c>
      <c r="BQ238" s="109"/>
      <c r="BR238" s="75"/>
      <c r="BS238" s="77"/>
      <c r="BT238" s="75"/>
      <c r="BU238" s="77"/>
      <c r="BV238" s="81"/>
      <c r="BX238" s="133">
        <v>21</v>
      </c>
      <c r="BY238" s="133">
        <v>115</v>
      </c>
      <c r="BZ238" s="133">
        <v>275</v>
      </c>
      <c r="CA238" s="133">
        <v>70</v>
      </c>
      <c r="CB238" s="133" t="s">
        <v>297</v>
      </c>
      <c r="CC238" s="57" t="s">
        <v>57</v>
      </c>
      <c r="CD238" s="57">
        <v>9</v>
      </c>
    </row>
    <row r="239" spans="17:82" x14ac:dyDescent="0.25">
      <c r="Q239" s="138">
        <f t="shared" si="7"/>
        <v>0.69224999999999959</v>
      </c>
      <c r="R239" s="138">
        <v>0.75</v>
      </c>
      <c r="S239" s="138">
        <f t="shared" si="8"/>
        <v>5.7750000000000412E-2</v>
      </c>
      <c r="U239" s="129">
        <v>23.5</v>
      </c>
      <c r="V239" s="130">
        <v>140</v>
      </c>
      <c r="W239" s="130"/>
      <c r="X239" s="130"/>
      <c r="Y239" s="130">
        <v>-22</v>
      </c>
      <c r="Z239" s="64">
        <v>1</v>
      </c>
      <c r="AA239" s="99">
        <v>1</v>
      </c>
      <c r="AC239" s="147" t="s">
        <v>772</v>
      </c>
      <c r="AD239" s="148"/>
      <c r="AE239" s="130">
        <f>IF(AE235&lt;0%,((AE237+((AE238-AE237)*ABS(AE235)))),((AE237-((AE237-AE238)*ABS(AE235)))))</f>
        <v>5.2649999999999997</v>
      </c>
      <c r="AF239" s="130"/>
      <c r="AG239" s="61"/>
      <c r="AH239" s="91">
        <v>-0.6</v>
      </c>
      <c r="AI239" s="91"/>
      <c r="AJ239" s="63"/>
      <c r="AL239" s="68"/>
      <c r="AM239" s="61"/>
      <c r="AN239" s="61"/>
      <c r="AO239" s="61"/>
      <c r="AP239" s="61"/>
      <c r="AQ239" s="61"/>
      <c r="AR239" s="61"/>
      <c r="AS239" s="61"/>
      <c r="AT239" s="91"/>
      <c r="AU239" s="91"/>
      <c r="AV239" s="91"/>
      <c r="AW239" s="92"/>
      <c r="BB239" s="147" t="s">
        <v>771</v>
      </c>
      <c r="BC239" s="148"/>
      <c r="BD239" s="130">
        <f>IF(BD223&lt;0%,((BD237-((BD237-BD238)*ABS(BD223)))),((BD237+((BD238-BD237)*ABS(BD223)))))</f>
        <v>1.6875</v>
      </c>
      <c r="BE239" s="61"/>
      <c r="BF239" s="130"/>
      <c r="BG239" s="65">
        <v>-0.8</v>
      </c>
      <c r="BH239" s="64">
        <v>0.1</v>
      </c>
      <c r="BI239" s="61"/>
      <c r="BJ239" s="61"/>
      <c r="BK239" s="80"/>
      <c r="BM239" s="76">
        <v>2.73</v>
      </c>
      <c r="BN239" s="75">
        <v>-1</v>
      </c>
      <c r="BO239" s="77">
        <v>2.7E-2</v>
      </c>
      <c r="BP239" s="75">
        <v>-0.65</v>
      </c>
      <c r="BQ239" s="109"/>
      <c r="BR239" s="75"/>
      <c r="BS239" s="77"/>
      <c r="BT239" s="75"/>
      <c r="BU239" s="77"/>
      <c r="BV239" s="81"/>
      <c r="BX239" s="133">
        <v>21.5</v>
      </c>
      <c r="BY239" s="133">
        <v>120</v>
      </c>
      <c r="BZ239" s="133">
        <v>275</v>
      </c>
      <c r="CA239" s="133">
        <v>70</v>
      </c>
      <c r="CB239" s="133" t="s">
        <v>298</v>
      </c>
      <c r="CC239" s="57" t="s">
        <v>58</v>
      </c>
      <c r="CD239" s="57">
        <v>10</v>
      </c>
    </row>
    <row r="240" spans="17:82" x14ac:dyDescent="0.25">
      <c r="Q240" s="138">
        <f>ABS(S240-R240)</f>
        <v>0.81724999999999959</v>
      </c>
      <c r="R240" s="133">
        <v>0.875</v>
      </c>
      <c r="S240" s="138">
        <f t="shared" si="8"/>
        <v>5.7750000000000412E-2</v>
      </c>
      <c r="U240" s="129">
        <v>24</v>
      </c>
      <c r="V240" s="130">
        <v>145</v>
      </c>
      <c r="W240" s="130"/>
      <c r="X240" s="61"/>
      <c r="Y240" s="130">
        <v>-21</v>
      </c>
      <c r="Z240" s="64">
        <v>1</v>
      </c>
      <c r="AA240" s="99">
        <v>1</v>
      </c>
      <c r="AC240" s="147" t="s">
        <v>36</v>
      </c>
      <c r="AD240" s="148"/>
      <c r="AE240" s="64">
        <f>VLOOKUP(E15,AG119:AH136,2,FALSE)</f>
        <v>0.6</v>
      </c>
      <c r="AF240" s="130"/>
      <c r="AG240" s="61"/>
      <c r="AH240" s="91">
        <v>-0.45</v>
      </c>
      <c r="AI240" s="91"/>
      <c r="AJ240" s="63"/>
      <c r="AL240" s="68"/>
      <c r="AM240" s="61"/>
      <c r="AN240" s="148" t="s">
        <v>37</v>
      </c>
      <c r="AO240" s="148"/>
      <c r="AP240" s="148"/>
      <c r="AQ240" s="61"/>
      <c r="AR240" s="61"/>
      <c r="AS240" s="61"/>
      <c r="AT240" s="91"/>
      <c r="AU240" s="91"/>
      <c r="AV240" s="91"/>
      <c r="AW240" s="92"/>
      <c r="BB240" s="147" t="s">
        <v>754</v>
      </c>
      <c r="BC240" s="148"/>
      <c r="BD240" s="64">
        <f>VLOOKUP(G15,BB213:BC215,2,FALSE)</f>
        <v>0</v>
      </c>
      <c r="BE240" s="61"/>
      <c r="BF240" s="130" t="s">
        <v>783</v>
      </c>
      <c r="BG240" s="65">
        <v>-0.9</v>
      </c>
      <c r="BH240" s="64">
        <v>0.05</v>
      </c>
      <c r="BI240" s="61"/>
      <c r="BJ240" s="61"/>
      <c r="BK240" s="80"/>
      <c r="BM240" s="76">
        <v>2.74</v>
      </c>
      <c r="BN240" s="75">
        <v>-1</v>
      </c>
      <c r="BO240" s="77">
        <v>2.8000000000000001E-2</v>
      </c>
      <c r="BP240" s="75">
        <v>-0.6</v>
      </c>
      <c r="BQ240" s="109"/>
      <c r="BR240" s="75"/>
      <c r="BS240" s="77"/>
      <c r="BT240" s="75"/>
      <c r="BU240" s="77"/>
      <c r="BV240" s="81"/>
      <c r="BX240" s="133">
        <v>22</v>
      </c>
      <c r="BY240" s="133">
        <v>125</v>
      </c>
      <c r="BZ240" s="133">
        <v>275</v>
      </c>
      <c r="CA240" s="133">
        <v>70</v>
      </c>
      <c r="CB240" s="133" t="s">
        <v>299</v>
      </c>
      <c r="CC240" s="57" t="s">
        <v>58</v>
      </c>
      <c r="CD240" s="57">
        <v>11</v>
      </c>
    </row>
    <row r="241" spans="17:82" x14ac:dyDescent="0.25">
      <c r="Q241" s="138">
        <f t="shared" si="7"/>
        <v>0.94224999999999959</v>
      </c>
      <c r="R241" s="138">
        <v>1</v>
      </c>
      <c r="S241" s="138">
        <f t="shared" si="8"/>
        <v>5.7750000000000412E-2</v>
      </c>
      <c r="U241" s="129">
        <v>24.5</v>
      </c>
      <c r="V241" s="130">
        <v>150</v>
      </c>
      <c r="W241" s="130"/>
      <c r="X241" s="61"/>
      <c r="Y241" s="130">
        <v>-20</v>
      </c>
      <c r="Z241" s="64">
        <v>1</v>
      </c>
      <c r="AA241" s="99">
        <v>1</v>
      </c>
      <c r="AC241" s="147" t="s">
        <v>35</v>
      </c>
      <c r="AD241" s="148"/>
      <c r="AE241" s="64">
        <f>VLOOKUP(E16,AI119:AJ136,2,FALSE)</f>
        <v>0.1</v>
      </c>
      <c r="AF241" s="130"/>
      <c r="AG241" s="61"/>
      <c r="AH241" s="91">
        <v>-0.3</v>
      </c>
      <c r="AI241" s="91"/>
      <c r="AJ241" s="63"/>
      <c r="AL241" s="68"/>
      <c r="AM241" s="61"/>
      <c r="AN241" s="148" t="s">
        <v>38</v>
      </c>
      <c r="AO241" s="148"/>
      <c r="AP241" s="97">
        <f>VLOOKUP(E19,AL213:AM238,2,FALSE)</f>
        <v>0</v>
      </c>
      <c r="AQ241" s="61"/>
      <c r="AR241" s="61"/>
      <c r="AS241" s="61"/>
      <c r="AT241" s="91"/>
      <c r="AU241" s="91"/>
      <c r="AV241" s="91"/>
      <c r="AW241" s="92"/>
      <c r="BB241" s="147" t="s">
        <v>741</v>
      </c>
      <c r="BC241" s="148"/>
      <c r="BD241" s="130">
        <f>VLOOKUP(BD240,BB244:BC246,2,FALSE)</f>
        <v>3.375</v>
      </c>
      <c r="BE241" s="61"/>
      <c r="BF241" s="113"/>
      <c r="BG241" s="61"/>
      <c r="BH241" s="61"/>
      <c r="BI241" s="61"/>
      <c r="BJ241" s="61"/>
      <c r="BK241" s="80"/>
      <c r="BM241" s="76">
        <v>2.75</v>
      </c>
      <c r="BN241" s="75">
        <v>-1</v>
      </c>
      <c r="BO241" s="77">
        <v>2.9000000000000001E-2</v>
      </c>
      <c r="BP241" s="75">
        <v>-0.55000000000000004</v>
      </c>
      <c r="BQ241" s="109"/>
      <c r="BR241" s="75"/>
      <c r="BS241" s="77"/>
      <c r="BT241" s="75"/>
      <c r="BU241" s="77"/>
      <c r="BV241" s="81"/>
      <c r="BX241" s="133">
        <v>22.5</v>
      </c>
      <c r="BY241" s="133">
        <v>130</v>
      </c>
      <c r="BZ241" s="133">
        <v>275</v>
      </c>
      <c r="CA241" s="133">
        <v>70</v>
      </c>
      <c r="CB241" s="133" t="s">
        <v>300</v>
      </c>
      <c r="CC241" s="57" t="s">
        <v>58</v>
      </c>
      <c r="CD241" s="57">
        <v>12</v>
      </c>
    </row>
    <row r="242" spans="17:82" x14ac:dyDescent="0.25">
      <c r="Q242" s="138">
        <f>MIN(Q233:Q241)</f>
        <v>5.7750000000000412E-2</v>
      </c>
      <c r="R242" s="133"/>
      <c r="S242" s="133"/>
      <c r="U242" s="129">
        <v>25</v>
      </c>
      <c r="V242" s="130">
        <v>155</v>
      </c>
      <c r="W242" s="130"/>
      <c r="X242" s="61"/>
      <c r="Y242" s="130">
        <v>-19</v>
      </c>
      <c r="Z242" s="64">
        <v>1</v>
      </c>
      <c r="AA242" s="99">
        <v>1</v>
      </c>
      <c r="AC242" s="147" t="s">
        <v>726</v>
      </c>
      <c r="AD242" s="148"/>
      <c r="AE242" s="64">
        <f>((AE240*0.4)+(AE241*0.6))</f>
        <v>0.3</v>
      </c>
      <c r="AF242" s="130"/>
      <c r="AG242" s="61"/>
      <c r="AH242" s="91">
        <v>-0.15</v>
      </c>
      <c r="AI242" s="91"/>
      <c r="AJ242" s="63"/>
      <c r="AL242" s="68"/>
      <c r="AM242" s="61"/>
      <c r="AN242" s="148" t="s">
        <v>39</v>
      </c>
      <c r="AO242" s="148"/>
      <c r="AP242" s="97">
        <f>VLOOKUP(E20,AN213:AO233,2,FALSE)</f>
        <v>-0.1</v>
      </c>
      <c r="AQ242" s="61"/>
      <c r="AR242" s="61"/>
      <c r="AS242" s="61"/>
      <c r="AT242" s="91"/>
      <c r="AU242" s="91"/>
      <c r="AV242" s="91"/>
      <c r="AW242" s="92"/>
      <c r="BB242" s="147"/>
      <c r="BC242" s="148"/>
      <c r="BD242" s="61"/>
      <c r="BE242" s="61"/>
      <c r="BF242" s="61"/>
      <c r="BG242" s="61"/>
      <c r="BH242" s="61"/>
      <c r="BI242" s="61"/>
      <c r="BJ242" s="61"/>
      <c r="BK242" s="80"/>
      <c r="BM242" s="76">
        <v>2.76</v>
      </c>
      <c r="BN242" s="75">
        <v>-1</v>
      </c>
      <c r="BO242" s="77">
        <v>0.03</v>
      </c>
      <c r="BP242" s="75">
        <v>-0.5</v>
      </c>
      <c r="BQ242" s="109"/>
      <c r="BR242" s="75"/>
      <c r="BS242" s="77"/>
      <c r="BT242" s="75"/>
      <c r="BU242" s="77"/>
      <c r="BV242" s="81"/>
      <c r="BX242" s="133">
        <v>23</v>
      </c>
      <c r="BY242" s="133">
        <v>135</v>
      </c>
      <c r="BZ242" s="133">
        <v>275</v>
      </c>
      <c r="CA242" s="133">
        <v>70</v>
      </c>
      <c r="CB242" s="133" t="s">
        <v>301</v>
      </c>
      <c r="CC242" s="57" t="s">
        <v>59</v>
      </c>
      <c r="CD242" s="57">
        <v>13</v>
      </c>
    </row>
    <row r="243" spans="17:82" x14ac:dyDescent="0.25">
      <c r="Q243" s="133" t="s">
        <v>749</v>
      </c>
      <c r="R243" s="133"/>
      <c r="S243" s="133"/>
      <c r="U243" s="147" t="s">
        <v>27</v>
      </c>
      <c r="V243" s="148"/>
      <c r="W243" s="148"/>
      <c r="X243" s="61"/>
      <c r="Y243" s="130">
        <v>-18</v>
      </c>
      <c r="Z243" s="64">
        <v>1</v>
      </c>
      <c r="AA243" s="99">
        <v>1</v>
      </c>
      <c r="AC243" s="147" t="s">
        <v>754</v>
      </c>
      <c r="AD243" s="148"/>
      <c r="AE243" s="65">
        <f>(BC120)</f>
        <v>0</v>
      </c>
      <c r="AF243" s="130"/>
      <c r="AG243" s="61" t="s">
        <v>54</v>
      </c>
      <c r="AH243" s="91">
        <v>0</v>
      </c>
      <c r="AI243" s="91"/>
      <c r="AJ243" s="63"/>
      <c r="AL243" s="68"/>
      <c r="AM243" s="61"/>
      <c r="AN243" s="148" t="s">
        <v>47</v>
      </c>
      <c r="AO243" s="148"/>
      <c r="AP243" s="97">
        <f>VLOOKUP(E21,AP213:AQ219,2,FALSE)</f>
        <v>0</v>
      </c>
      <c r="AQ243" s="61"/>
      <c r="AR243" s="61"/>
      <c r="AS243" s="61"/>
      <c r="AT243" s="91"/>
      <c r="AU243" s="91"/>
      <c r="AV243" s="91"/>
      <c r="AW243" s="92"/>
      <c r="BB243" s="147" t="s">
        <v>773</v>
      </c>
      <c r="BC243" s="148"/>
      <c r="BD243" s="61"/>
      <c r="BE243" s="61"/>
      <c r="BF243" s="61"/>
      <c r="BG243" s="61"/>
      <c r="BH243" s="61"/>
      <c r="BI243" s="61"/>
      <c r="BJ243" s="61"/>
      <c r="BK243" s="80"/>
      <c r="BM243" s="76">
        <v>2.77</v>
      </c>
      <c r="BN243" s="75">
        <v>-1</v>
      </c>
      <c r="BO243" s="77">
        <v>3.1E-2</v>
      </c>
      <c r="BP243" s="75">
        <v>-0.45</v>
      </c>
      <c r="BQ243" s="109"/>
      <c r="BR243" s="75"/>
      <c r="BS243" s="77"/>
      <c r="BT243" s="75"/>
      <c r="BU243" s="61"/>
      <c r="BV243" s="80"/>
      <c r="BX243" s="133">
        <v>23.5</v>
      </c>
      <c r="BY243" s="133">
        <v>140</v>
      </c>
      <c r="BZ243" s="133">
        <v>275</v>
      </c>
      <c r="CA243" s="133">
        <v>70</v>
      </c>
      <c r="CB243" s="133" t="s">
        <v>302</v>
      </c>
      <c r="CC243" s="57" t="s">
        <v>59</v>
      </c>
      <c r="CD243" s="57">
        <v>14</v>
      </c>
    </row>
    <row r="244" spans="17:82" x14ac:dyDescent="0.25">
      <c r="Q244" s="139" t="s">
        <v>751</v>
      </c>
      <c r="R244" s="139"/>
      <c r="S244" s="139"/>
      <c r="U244" s="147" t="s">
        <v>28</v>
      </c>
      <c r="V244" s="148"/>
      <c r="W244" s="130">
        <f>VLOOKUP(E13,U212:V242,2,FALSE)</f>
        <v>75</v>
      </c>
      <c r="X244" s="61"/>
      <c r="Y244" s="130">
        <v>-17</v>
      </c>
      <c r="Z244" s="64">
        <v>1</v>
      </c>
      <c r="AA244" s="99">
        <v>1</v>
      </c>
      <c r="AC244" s="147" t="s">
        <v>800</v>
      </c>
      <c r="AD244" s="148"/>
      <c r="AE244" s="130" t="str">
        <f>IF(AE235&lt;0%,"HIGH","LOW")</f>
        <v>HIGH</v>
      </c>
      <c r="AF244" s="130"/>
      <c r="AG244" s="61"/>
      <c r="AH244" s="91">
        <v>0.15</v>
      </c>
      <c r="AI244" s="91"/>
      <c r="AJ244" s="63"/>
      <c r="AL244" s="68"/>
      <c r="AM244" s="61"/>
      <c r="AN244" s="148" t="s">
        <v>720</v>
      </c>
      <c r="AO244" s="148"/>
      <c r="AP244" s="97">
        <f>((AP241*0.5)+(AP242*0.25)+(AP243*0.25))</f>
        <v>-2.5000000000000001E-2</v>
      </c>
      <c r="AQ244" s="61"/>
      <c r="AR244" s="148" t="s">
        <v>776</v>
      </c>
      <c r="AS244" s="148"/>
      <c r="AT244" s="61" t="s">
        <v>775</v>
      </c>
      <c r="AU244" s="61"/>
      <c r="AV244" s="61"/>
      <c r="AW244" s="80"/>
      <c r="BB244" s="114">
        <v>0.5</v>
      </c>
      <c r="BC244" s="130">
        <f>IF(BD223&lt;0%,((BD225-((BD225-BD226)*ABS(BD223)))),((BD225+((BD226-BD225)*ABS(BD223)))))</f>
        <v>5.0625</v>
      </c>
      <c r="BD244" s="61"/>
      <c r="BE244" s="61"/>
      <c r="BF244" s="61"/>
      <c r="BG244" s="61"/>
      <c r="BH244" s="61"/>
      <c r="BI244" s="61"/>
      <c r="BJ244" s="61"/>
      <c r="BK244" s="80"/>
      <c r="BM244" s="76">
        <v>2.78</v>
      </c>
      <c r="BN244" s="75">
        <v>-1</v>
      </c>
      <c r="BO244" s="77">
        <v>3.2000000000000001E-2</v>
      </c>
      <c r="BP244" s="75">
        <v>-0.4</v>
      </c>
      <c r="BQ244" s="109"/>
      <c r="BR244" s="75"/>
      <c r="BS244" s="77"/>
      <c r="BT244" s="75"/>
      <c r="BU244" s="61"/>
      <c r="BV244" s="80"/>
      <c r="BX244" s="133">
        <v>24</v>
      </c>
      <c r="BY244" s="133">
        <v>145</v>
      </c>
      <c r="BZ244" s="133">
        <v>275</v>
      </c>
      <c r="CA244" s="133">
        <v>70</v>
      </c>
      <c r="CB244" s="133" t="s">
        <v>303</v>
      </c>
      <c r="CC244" s="57" t="s">
        <v>59</v>
      </c>
      <c r="CD244" s="57">
        <v>15</v>
      </c>
    </row>
    <row r="245" spans="17:82" x14ac:dyDescent="0.25">
      <c r="Q245" s="138">
        <f t="shared" ref="Q245:Q253" si="9">ABS(S245-R245)</f>
        <v>5.7750000000000412E-2</v>
      </c>
      <c r="R245" s="138">
        <v>0</v>
      </c>
      <c r="S245" s="138">
        <f>MOD($S$221,1)</f>
        <v>5.7750000000000412E-2</v>
      </c>
      <c r="U245" s="147" t="s">
        <v>29</v>
      </c>
      <c r="V245" s="148"/>
      <c r="W245" s="130">
        <f>VLOOKUP(E14,X212:Y232,2,FALSE)</f>
        <v>75</v>
      </c>
      <c r="X245" s="61"/>
      <c r="Y245" s="130">
        <v>-16</v>
      </c>
      <c r="Z245" s="64">
        <v>1</v>
      </c>
      <c r="AA245" s="99">
        <v>1</v>
      </c>
      <c r="AC245" s="147" t="s">
        <v>753</v>
      </c>
      <c r="AD245" s="148"/>
      <c r="AE245" s="130">
        <f>(3.375)</f>
        <v>3.375</v>
      </c>
      <c r="AF245" s="130"/>
      <c r="AG245" s="61"/>
      <c r="AH245" s="91">
        <v>0.3</v>
      </c>
      <c r="AI245" s="91"/>
      <c r="AJ245" s="63"/>
      <c r="AL245" s="68"/>
      <c r="AM245" s="61"/>
      <c r="AN245" s="148" t="s">
        <v>754</v>
      </c>
      <c r="AO245" s="148"/>
      <c r="AP245" s="64">
        <f>(BC213)</f>
        <v>0.5</v>
      </c>
      <c r="AQ245" s="61"/>
      <c r="AR245" s="61" t="s">
        <v>724</v>
      </c>
      <c r="AS245" s="91">
        <v>0.95</v>
      </c>
      <c r="AT245" s="75">
        <v>0.95</v>
      </c>
      <c r="AU245" s="130"/>
      <c r="AV245" s="130"/>
      <c r="AW245" s="63"/>
      <c r="BB245" s="114">
        <v>0</v>
      </c>
      <c r="BC245" s="130">
        <f>IF(BD232="ANGULAR",((BD233-((BD233-BD234)*ABS(BD223)))),((BD233+(BD234-BD233)*ABS(BD223))))</f>
        <v>3.375</v>
      </c>
      <c r="BD245" s="61"/>
      <c r="BE245" s="61"/>
      <c r="BF245" s="61"/>
      <c r="BG245" s="61"/>
      <c r="BH245" s="61"/>
      <c r="BI245" s="61"/>
      <c r="BJ245" s="61"/>
      <c r="BK245" s="80"/>
      <c r="BM245" s="76">
        <v>2.79</v>
      </c>
      <c r="BN245" s="75">
        <v>-1</v>
      </c>
      <c r="BO245" s="77">
        <v>3.3000000000000002E-2</v>
      </c>
      <c r="BP245" s="75">
        <v>-0.35</v>
      </c>
      <c r="BQ245" s="109"/>
      <c r="BR245" s="75"/>
      <c r="BS245" s="77"/>
      <c r="BT245" s="75"/>
      <c r="BU245" s="61"/>
      <c r="BV245" s="80"/>
      <c r="BX245" s="133">
        <v>24.5</v>
      </c>
      <c r="BY245" s="133">
        <v>150</v>
      </c>
      <c r="BZ245" s="133">
        <v>275</v>
      </c>
      <c r="CA245" s="133">
        <v>70</v>
      </c>
      <c r="CB245" s="133" t="s">
        <v>304</v>
      </c>
      <c r="CC245" s="57" t="s">
        <v>59</v>
      </c>
      <c r="CD245" s="57">
        <v>16</v>
      </c>
    </row>
    <row r="246" spans="17:82" ht="15.75" thickBot="1" x14ac:dyDescent="0.3">
      <c r="Q246" s="138">
        <f t="shared" si="9"/>
        <v>6.7249999999999588E-2</v>
      </c>
      <c r="R246" s="133">
        <v>0.125</v>
      </c>
      <c r="S246" s="138">
        <f t="shared" ref="S246:S253" si="10">MOD($S$221,1)</f>
        <v>5.7750000000000412E-2</v>
      </c>
      <c r="U246" s="147" t="s">
        <v>30</v>
      </c>
      <c r="V246" s="148"/>
      <c r="W246" s="100">
        <f>(W244/W245)</f>
        <v>1</v>
      </c>
      <c r="X246" s="61"/>
      <c r="Y246" s="130">
        <v>-15</v>
      </c>
      <c r="Z246" s="64">
        <v>1</v>
      </c>
      <c r="AA246" s="99">
        <v>1</v>
      </c>
      <c r="AC246" s="147" t="s">
        <v>774</v>
      </c>
      <c r="AD246" s="148"/>
      <c r="AE246" s="111">
        <f>IF(AE244="HIGH",5.0625,1.6875)</f>
        <v>5.0625</v>
      </c>
      <c r="AF246" s="130"/>
      <c r="AG246" s="61"/>
      <c r="AH246" s="91">
        <v>0.45</v>
      </c>
      <c r="AI246" s="91"/>
      <c r="AJ246" s="63"/>
      <c r="AL246" s="68"/>
      <c r="AM246" s="61"/>
      <c r="AN246" s="148" t="s">
        <v>753</v>
      </c>
      <c r="AO246" s="148"/>
      <c r="AP246" s="130">
        <f>6.75-(3.375*ABS(AP258))</f>
        <v>5.0625</v>
      </c>
      <c r="AQ246" s="61"/>
      <c r="AR246" s="61"/>
      <c r="AS246" s="91">
        <v>-0.8</v>
      </c>
      <c r="AT246" s="75">
        <v>0.9</v>
      </c>
      <c r="AU246" s="61"/>
      <c r="AV246" s="61"/>
      <c r="AW246" s="80"/>
      <c r="BB246" s="116">
        <v>-0.5</v>
      </c>
      <c r="BC246" s="132">
        <f>IF(BD223&lt;0%,((BD237-((BD237-BD238)*ABS(BD223)))),((BD237+((BD238-BD237)*ABS(BD223)))))</f>
        <v>1.6875</v>
      </c>
      <c r="BD246" s="95"/>
      <c r="BE246" s="95"/>
      <c r="BF246" s="95"/>
      <c r="BG246" s="95"/>
      <c r="BH246" s="95"/>
      <c r="BI246" s="95"/>
      <c r="BJ246" s="95"/>
      <c r="BK246" s="96"/>
      <c r="BM246" s="76">
        <v>2.8</v>
      </c>
      <c r="BN246" s="75">
        <v>-1</v>
      </c>
      <c r="BO246" s="77">
        <v>3.4000000000000002E-2</v>
      </c>
      <c r="BP246" s="75">
        <v>-0.3</v>
      </c>
      <c r="BQ246" s="109"/>
      <c r="BR246" s="75"/>
      <c r="BS246" s="77"/>
      <c r="BT246" s="75"/>
      <c r="BU246" s="61"/>
      <c r="BV246" s="80"/>
      <c r="BX246" s="133">
        <v>25</v>
      </c>
      <c r="BY246" s="133">
        <v>155</v>
      </c>
      <c r="BZ246" s="133">
        <v>275</v>
      </c>
      <c r="CA246" s="133">
        <v>70</v>
      </c>
      <c r="CB246" s="133" t="s">
        <v>305</v>
      </c>
      <c r="CC246" s="57" t="s">
        <v>59</v>
      </c>
      <c r="CD246" s="57">
        <v>17</v>
      </c>
    </row>
    <row r="247" spans="17:82" x14ac:dyDescent="0.25">
      <c r="Q247" s="138">
        <f t="shared" si="9"/>
        <v>0.19224999999999959</v>
      </c>
      <c r="R247" s="138">
        <v>0.25</v>
      </c>
      <c r="S247" s="138">
        <f t="shared" si="10"/>
        <v>5.7750000000000412E-2</v>
      </c>
      <c r="U247" s="147" t="s">
        <v>65</v>
      </c>
      <c r="V247" s="148"/>
      <c r="W247" s="130">
        <f>VLOOKUP(E13&amp;"|"&amp;E14,CB7:CD649,3,FALSE)</f>
        <v>0</v>
      </c>
      <c r="X247" s="61"/>
      <c r="Y247" s="130">
        <v>-14</v>
      </c>
      <c r="Z247" s="64">
        <v>1</v>
      </c>
      <c r="AA247" s="99">
        <v>1</v>
      </c>
      <c r="AC247" s="147" t="s">
        <v>770</v>
      </c>
      <c r="AD247" s="148"/>
      <c r="AE247" s="130">
        <f>IF(AE244="HIGH",((AE245+((AE246-AE245)*ABS(AE235)))),((AE245-((AE245-AE246)*ABS(AE235)))))</f>
        <v>3.5775000000000001</v>
      </c>
      <c r="AF247" s="130"/>
      <c r="AG247" s="61" t="s">
        <v>31</v>
      </c>
      <c r="AH247" s="91">
        <v>0.6</v>
      </c>
      <c r="AI247" s="91"/>
      <c r="AJ247" s="63"/>
      <c r="AL247" s="68"/>
      <c r="AM247" s="61"/>
      <c r="AN247" s="148" t="s">
        <v>714</v>
      </c>
      <c r="AO247" s="148"/>
      <c r="AP247" s="130">
        <f>IF(AP244&gt;0%,6.75,3.375)</f>
        <v>3.375</v>
      </c>
      <c r="AQ247" s="61"/>
      <c r="AR247" s="61"/>
      <c r="AS247" s="91">
        <v>-0.7</v>
      </c>
      <c r="AT247" s="75">
        <v>0.85</v>
      </c>
      <c r="AU247" s="61"/>
      <c r="AV247" s="61"/>
      <c r="AW247" s="80"/>
      <c r="BM247" s="68"/>
      <c r="BN247" s="61"/>
      <c r="BO247" s="77">
        <v>3.5000000000000003E-2</v>
      </c>
      <c r="BP247" s="75">
        <v>-0.25</v>
      </c>
      <c r="BQ247" s="61"/>
      <c r="BR247" s="61"/>
      <c r="BS247" s="77"/>
      <c r="BT247" s="75"/>
      <c r="BU247" s="61"/>
      <c r="BV247" s="80"/>
      <c r="BX247" s="133">
        <v>10</v>
      </c>
      <c r="BY247" s="133">
        <v>5</v>
      </c>
      <c r="BZ247" s="133">
        <v>300</v>
      </c>
      <c r="CA247" s="133">
        <v>75</v>
      </c>
      <c r="CB247" s="133" t="s">
        <v>306</v>
      </c>
      <c r="CC247" s="57" t="s">
        <v>64</v>
      </c>
      <c r="CD247" s="57">
        <v>-14</v>
      </c>
    </row>
    <row r="248" spans="17:82" x14ac:dyDescent="0.25">
      <c r="Q248" s="138">
        <f t="shared" si="9"/>
        <v>0.31724999999999959</v>
      </c>
      <c r="R248" s="133">
        <v>0.375</v>
      </c>
      <c r="S248" s="138">
        <f t="shared" si="10"/>
        <v>5.7750000000000412E-2</v>
      </c>
      <c r="U248" s="147" t="s">
        <v>710</v>
      </c>
      <c r="V248" s="148"/>
      <c r="W248" s="64">
        <f>VLOOKUP(W247,Y235:Z285,2,FALSE)</f>
        <v>0</v>
      </c>
      <c r="X248" s="61"/>
      <c r="Y248" s="130">
        <v>-13</v>
      </c>
      <c r="Z248" s="64">
        <v>0.97499999999999998</v>
      </c>
      <c r="AA248" s="99">
        <v>1</v>
      </c>
      <c r="AC248" s="147" t="s">
        <v>754</v>
      </c>
      <c r="AD248" s="148"/>
      <c r="AE248" s="65">
        <f>BC215</f>
        <v>-0.5</v>
      </c>
      <c r="AF248" s="130"/>
      <c r="AG248" s="61"/>
      <c r="AH248" s="91">
        <v>0.75</v>
      </c>
      <c r="AI248" s="91"/>
      <c r="AJ248" s="63"/>
      <c r="AL248" s="68"/>
      <c r="AM248" s="61"/>
      <c r="AN248" s="148" t="s">
        <v>772</v>
      </c>
      <c r="AO248" s="148"/>
      <c r="AP248" s="130">
        <f>IF(AP244&lt;0%,((AP246+((AP247-AP246)*ABS(AP244)))),((AP246-((AP246-AP247)*ABS(AP244)))))</f>
        <v>5.0203125000000002</v>
      </c>
      <c r="AQ248" s="61"/>
      <c r="AR248" s="61"/>
      <c r="AS248" s="91">
        <v>-0.6</v>
      </c>
      <c r="AT248" s="75">
        <v>0.8</v>
      </c>
      <c r="AU248" s="61"/>
      <c r="AV248" s="61"/>
      <c r="AW248" s="80"/>
      <c r="BM248" s="68"/>
      <c r="BN248" s="61"/>
      <c r="BO248" s="77">
        <v>3.5999999999999997E-2</v>
      </c>
      <c r="BP248" s="75">
        <v>-0.2</v>
      </c>
      <c r="BQ248" s="61"/>
      <c r="BR248" s="61"/>
      <c r="BS248" s="77"/>
      <c r="BT248" s="75"/>
      <c r="BU248" s="61"/>
      <c r="BV248" s="80"/>
      <c r="BX248" s="133">
        <v>10.5</v>
      </c>
      <c r="BY248" s="133">
        <v>10</v>
      </c>
      <c r="BZ248" s="133">
        <v>300</v>
      </c>
      <c r="CA248" s="133">
        <v>75</v>
      </c>
      <c r="CB248" s="133" t="s">
        <v>307</v>
      </c>
      <c r="CC248" s="57" t="s">
        <v>64</v>
      </c>
      <c r="CD248" s="57">
        <v>-13</v>
      </c>
    </row>
    <row r="249" spans="17:82" x14ac:dyDescent="0.25">
      <c r="Q249" s="138">
        <f t="shared" si="9"/>
        <v>0.44224999999999959</v>
      </c>
      <c r="R249" s="138">
        <v>0.5</v>
      </c>
      <c r="S249" s="138">
        <f t="shared" si="10"/>
        <v>5.7750000000000412E-2</v>
      </c>
      <c r="U249" s="147" t="s">
        <v>754</v>
      </c>
      <c r="V249" s="148"/>
      <c r="W249" s="64">
        <f>BC213</f>
        <v>0.5</v>
      </c>
      <c r="X249" s="61"/>
      <c r="Y249" s="130">
        <v>-12</v>
      </c>
      <c r="Z249" s="64">
        <v>0.9</v>
      </c>
      <c r="AA249" s="99">
        <v>1</v>
      </c>
      <c r="AC249" s="147" t="s">
        <v>753</v>
      </c>
      <c r="AD249" s="148"/>
      <c r="AE249" s="130">
        <f>0+(3.375*ABS(AE236))</f>
        <v>1.6875</v>
      </c>
      <c r="AF249" s="130"/>
      <c r="AG249" s="61"/>
      <c r="AH249" s="91">
        <v>0.9</v>
      </c>
      <c r="AI249" s="91"/>
      <c r="AJ249" s="63"/>
      <c r="AL249" s="68"/>
      <c r="AM249" s="61"/>
      <c r="AN249" s="148"/>
      <c r="AO249" s="148"/>
      <c r="AP249" s="64"/>
      <c r="AQ249" s="91"/>
      <c r="AR249" s="61" t="s">
        <v>722</v>
      </c>
      <c r="AS249" s="91">
        <v>-0.5</v>
      </c>
      <c r="AT249" s="75">
        <v>0.75</v>
      </c>
      <c r="AU249" s="61"/>
      <c r="AV249" s="61"/>
      <c r="AW249" s="80"/>
      <c r="BM249" s="68"/>
      <c r="BN249" s="61"/>
      <c r="BO249" s="77">
        <v>3.6999999999999998E-2</v>
      </c>
      <c r="BP249" s="75">
        <v>-0.15</v>
      </c>
      <c r="BQ249" s="61"/>
      <c r="BR249" s="61"/>
      <c r="BS249" s="77"/>
      <c r="BT249" s="75"/>
      <c r="BU249" s="61"/>
      <c r="BV249" s="80"/>
      <c r="BX249" s="133">
        <v>11</v>
      </c>
      <c r="BY249" s="133">
        <v>15</v>
      </c>
      <c r="BZ249" s="133">
        <v>300</v>
      </c>
      <c r="CA249" s="133">
        <v>75</v>
      </c>
      <c r="CB249" s="133" t="s">
        <v>308</v>
      </c>
      <c r="CC249" s="57" t="s">
        <v>63</v>
      </c>
      <c r="CD249" s="57">
        <v>-12</v>
      </c>
    </row>
    <row r="250" spans="17:82" x14ac:dyDescent="0.25">
      <c r="Q250" s="138">
        <f t="shared" si="9"/>
        <v>0.56724999999999959</v>
      </c>
      <c r="R250" s="133">
        <v>0.625</v>
      </c>
      <c r="S250" s="138">
        <f t="shared" si="10"/>
        <v>5.7750000000000412E-2</v>
      </c>
      <c r="U250" s="147" t="s">
        <v>753</v>
      </c>
      <c r="V250" s="148"/>
      <c r="W250" s="130">
        <f>6.75-(3.375*ABS(W259))</f>
        <v>5.0625</v>
      </c>
      <c r="X250" s="61"/>
      <c r="Y250" s="130">
        <v>-11</v>
      </c>
      <c r="Z250" s="64">
        <v>0.82499999999999996</v>
      </c>
      <c r="AA250" s="99">
        <v>1</v>
      </c>
      <c r="AC250" s="147" t="s">
        <v>714</v>
      </c>
      <c r="AD250" s="148"/>
      <c r="AE250" s="111">
        <f>IF(AE235&gt;0%,0,3.375)</f>
        <v>3.375</v>
      </c>
      <c r="AF250" s="130"/>
      <c r="AG250" s="61"/>
      <c r="AH250" s="91">
        <v>1</v>
      </c>
      <c r="AI250" s="91"/>
      <c r="AJ250" s="63"/>
      <c r="AL250" s="129"/>
      <c r="AM250" s="61"/>
      <c r="AN250" s="148"/>
      <c r="AO250" s="148"/>
      <c r="AP250" s="64"/>
      <c r="AQ250" s="61"/>
      <c r="AR250" s="61"/>
      <c r="AS250" s="91">
        <v>-0.4</v>
      </c>
      <c r="AT250" s="75">
        <v>0.7</v>
      </c>
      <c r="AU250" s="61"/>
      <c r="AV250" s="61"/>
      <c r="AW250" s="80"/>
      <c r="BM250" s="68"/>
      <c r="BN250" s="61"/>
      <c r="BO250" s="77">
        <v>3.7999999999999999E-2</v>
      </c>
      <c r="BP250" s="75">
        <v>-0.1</v>
      </c>
      <c r="BQ250" s="61"/>
      <c r="BR250" s="61"/>
      <c r="BS250" s="77"/>
      <c r="BT250" s="75"/>
      <c r="BU250" s="61"/>
      <c r="BV250" s="80"/>
      <c r="BX250" s="133">
        <v>11.5</v>
      </c>
      <c r="BY250" s="133">
        <v>20</v>
      </c>
      <c r="BZ250" s="133">
        <v>300</v>
      </c>
      <c r="CA250" s="133">
        <v>75</v>
      </c>
      <c r="CB250" s="133" t="s">
        <v>309</v>
      </c>
      <c r="CC250" s="57" t="s">
        <v>63</v>
      </c>
      <c r="CD250" s="57">
        <v>-11</v>
      </c>
    </row>
    <row r="251" spans="17:82" x14ac:dyDescent="0.25">
      <c r="Q251" s="138">
        <f t="shared" si="9"/>
        <v>0.69224999999999959</v>
      </c>
      <c r="R251" s="138">
        <v>0.75</v>
      </c>
      <c r="S251" s="138">
        <f t="shared" si="10"/>
        <v>5.7750000000000412E-2</v>
      </c>
      <c r="U251" s="147" t="s">
        <v>714</v>
      </c>
      <c r="V251" s="148"/>
      <c r="W251" s="130">
        <f>IF(W248&gt;0%,6.75,3.375)</f>
        <v>3.375</v>
      </c>
      <c r="X251" s="61"/>
      <c r="Y251" s="130">
        <v>-10</v>
      </c>
      <c r="Z251" s="64">
        <v>0.75</v>
      </c>
      <c r="AA251" s="99">
        <v>1</v>
      </c>
      <c r="AC251" s="147" t="s">
        <v>771</v>
      </c>
      <c r="AD251" s="148"/>
      <c r="AE251" s="130">
        <f>IF(AE235&lt;0%,((AE249+((AE250-AE249)*ABS(AE235)))),((AE249-((AE249-AE250)*ABS(AE235)))))</f>
        <v>1.89</v>
      </c>
      <c r="AF251" s="130"/>
      <c r="AG251" s="61" t="s">
        <v>3</v>
      </c>
      <c r="AH251" s="91">
        <v>1</v>
      </c>
      <c r="AI251" s="91"/>
      <c r="AJ251" s="63"/>
      <c r="AL251" s="129"/>
      <c r="AM251" s="61"/>
      <c r="AN251" s="148"/>
      <c r="AO251" s="148"/>
      <c r="AP251" s="64"/>
      <c r="AQ251" s="61"/>
      <c r="AR251" s="61"/>
      <c r="AS251" s="91">
        <v>-0.3</v>
      </c>
      <c r="AT251" s="75">
        <v>0.65</v>
      </c>
      <c r="AU251" s="61"/>
      <c r="AV251" s="61"/>
      <c r="AW251" s="80"/>
      <c r="BM251" s="68"/>
      <c r="BN251" s="61"/>
      <c r="BO251" s="77">
        <v>3.9E-2</v>
      </c>
      <c r="BP251" s="75">
        <v>-0.05</v>
      </c>
      <c r="BQ251" s="61"/>
      <c r="BR251" s="61"/>
      <c r="BS251" s="77"/>
      <c r="BT251" s="75"/>
      <c r="BU251" s="61"/>
      <c r="BV251" s="80"/>
      <c r="BX251" s="133">
        <v>12</v>
      </c>
      <c r="BY251" s="133">
        <v>25</v>
      </c>
      <c r="BZ251" s="133">
        <v>300</v>
      </c>
      <c r="CA251" s="133">
        <v>75</v>
      </c>
      <c r="CB251" s="133" t="s">
        <v>310</v>
      </c>
      <c r="CC251" s="57" t="s">
        <v>63</v>
      </c>
      <c r="CD251" s="57">
        <v>-10</v>
      </c>
    </row>
    <row r="252" spans="17:82" x14ac:dyDescent="0.25">
      <c r="Q252" s="138">
        <f t="shared" si="9"/>
        <v>0.81724999999999959</v>
      </c>
      <c r="R252" s="133">
        <v>0.875</v>
      </c>
      <c r="S252" s="138">
        <f t="shared" si="10"/>
        <v>5.7750000000000412E-2</v>
      </c>
      <c r="U252" s="147" t="s">
        <v>772</v>
      </c>
      <c r="V252" s="148"/>
      <c r="W252" s="130">
        <f>IF(W248&gt;0%,((W250-((W250-W251)*ABS(W248)))),((W250+((W251-W250)*ABS(W248)))))</f>
        <v>5.0625</v>
      </c>
      <c r="X252" s="130"/>
      <c r="Y252" s="130">
        <v>-9</v>
      </c>
      <c r="Z252" s="64">
        <v>0.67500000000000004</v>
      </c>
      <c r="AA252" s="99">
        <v>1</v>
      </c>
      <c r="AC252" s="147" t="s">
        <v>754</v>
      </c>
      <c r="AD252" s="148"/>
      <c r="AE252" s="64">
        <f>VLOOKUP(G15,BB119:BC121,2,FALSE)</f>
        <v>0</v>
      </c>
      <c r="AF252" s="130"/>
      <c r="AG252" s="130"/>
      <c r="AH252" s="130"/>
      <c r="AI252" s="130"/>
      <c r="AJ252" s="63"/>
      <c r="AL252" s="129"/>
      <c r="AM252" s="61"/>
      <c r="AN252" s="148"/>
      <c r="AO252" s="148"/>
      <c r="AP252" s="64"/>
      <c r="AQ252" s="61"/>
      <c r="AR252" s="61"/>
      <c r="AS252" s="91">
        <v>-0.2</v>
      </c>
      <c r="AT252" s="75">
        <v>0.6</v>
      </c>
      <c r="AU252" s="61"/>
      <c r="AV252" s="61"/>
      <c r="AW252" s="80"/>
      <c r="BM252" s="68"/>
      <c r="BN252" s="61"/>
      <c r="BO252" s="77">
        <v>0.04</v>
      </c>
      <c r="BP252" s="75">
        <v>0</v>
      </c>
      <c r="BQ252" s="61"/>
      <c r="BR252" s="61"/>
      <c r="BS252" s="77"/>
      <c r="BT252" s="75"/>
      <c r="BU252" s="61"/>
      <c r="BV252" s="80"/>
      <c r="BX252" s="133">
        <v>12.5</v>
      </c>
      <c r="BY252" s="133">
        <v>30</v>
      </c>
      <c r="BZ252" s="133">
        <v>300</v>
      </c>
      <c r="CA252" s="133">
        <v>75</v>
      </c>
      <c r="CB252" s="133" t="s">
        <v>311</v>
      </c>
      <c r="CC252" s="57" t="s">
        <v>62</v>
      </c>
      <c r="CD252" s="57">
        <v>-9</v>
      </c>
    </row>
    <row r="253" spans="17:82" x14ac:dyDescent="0.25">
      <c r="Q253" s="138">
        <f t="shared" si="9"/>
        <v>0.94224999999999959</v>
      </c>
      <c r="R253" s="138">
        <v>1</v>
      </c>
      <c r="S253" s="138">
        <f t="shared" si="10"/>
        <v>5.7750000000000412E-2</v>
      </c>
      <c r="U253" s="147" t="s">
        <v>710</v>
      </c>
      <c r="V253" s="148"/>
      <c r="W253" s="65">
        <f>VLOOKUP(W247,Y235:AA285,3,FALSE)</f>
        <v>0.5</v>
      </c>
      <c r="X253" s="61" t="s">
        <v>62</v>
      </c>
      <c r="Y253" s="130">
        <v>-8</v>
      </c>
      <c r="Z253" s="64">
        <v>0.6</v>
      </c>
      <c r="AA253" s="99">
        <v>1</v>
      </c>
      <c r="AC253" s="147" t="s">
        <v>741</v>
      </c>
      <c r="AD253" s="148"/>
      <c r="AE253" s="130">
        <f>VLOOKUP(AE252,AC256:AD258,2,FALSE)</f>
        <v>3.5775000000000001</v>
      </c>
      <c r="AF253" s="130"/>
      <c r="AG253" s="130"/>
      <c r="AH253" s="130"/>
      <c r="AI253" s="130"/>
      <c r="AJ253" s="63"/>
      <c r="AL253" s="129"/>
      <c r="AM253" s="61"/>
      <c r="AN253" s="148" t="s">
        <v>754</v>
      </c>
      <c r="AO253" s="148"/>
      <c r="AP253" s="64">
        <f>(BC214)</f>
        <v>0</v>
      </c>
      <c r="AQ253" s="61"/>
      <c r="AR253" s="61"/>
      <c r="AS253" s="91">
        <v>-0.1</v>
      </c>
      <c r="AT253" s="75">
        <v>0.55000000000000004</v>
      </c>
      <c r="AU253" s="61"/>
      <c r="AV253" s="61"/>
      <c r="AW253" s="80"/>
      <c r="BM253" s="68"/>
      <c r="BN253" s="61"/>
      <c r="BO253" s="77">
        <v>4.1000000000000002E-2</v>
      </c>
      <c r="BP253" s="75">
        <v>2.5000000000000001E-2</v>
      </c>
      <c r="BQ253" s="61"/>
      <c r="BR253" s="61"/>
      <c r="BS253" s="77"/>
      <c r="BT253" s="75"/>
      <c r="BU253" s="61"/>
      <c r="BV253" s="80"/>
      <c r="BX253" s="133">
        <v>13</v>
      </c>
      <c r="BY253" s="133">
        <v>35</v>
      </c>
      <c r="BZ253" s="133">
        <v>300</v>
      </c>
      <c r="CA253" s="133">
        <v>75</v>
      </c>
      <c r="CB253" s="133" t="s">
        <v>312</v>
      </c>
      <c r="CC253" s="57" t="s">
        <v>62</v>
      </c>
      <c r="CD253" s="57">
        <v>-8</v>
      </c>
    </row>
    <row r="254" spans="17:82" x14ac:dyDescent="0.25">
      <c r="Q254" s="138">
        <f>MIN(Q245:Q253)</f>
        <v>5.7750000000000412E-2</v>
      </c>
      <c r="R254" s="133"/>
      <c r="S254" s="133"/>
      <c r="U254" s="147" t="s">
        <v>754</v>
      </c>
      <c r="V254" s="148"/>
      <c r="W254" s="65">
        <f>(BC214)</f>
        <v>0</v>
      </c>
      <c r="X254" s="130"/>
      <c r="Y254" s="130">
        <v>-7</v>
      </c>
      <c r="Z254" s="64">
        <v>0.52500000000000002</v>
      </c>
      <c r="AA254" s="99">
        <v>1</v>
      </c>
      <c r="AC254" s="147"/>
      <c r="AD254" s="148"/>
      <c r="AE254" s="104"/>
      <c r="AF254" s="130"/>
      <c r="AG254" s="130"/>
      <c r="AH254" s="130"/>
      <c r="AI254" s="130"/>
      <c r="AJ254" s="63"/>
      <c r="AL254" s="129"/>
      <c r="AM254" s="61"/>
      <c r="AN254" s="148" t="s">
        <v>801</v>
      </c>
      <c r="AO254" s="148"/>
      <c r="AP254" s="130" t="str">
        <f>IF(AP244&lt;0%,"HEAVY","LIGHT")</f>
        <v>HEAVY</v>
      </c>
      <c r="AQ254" s="61"/>
      <c r="AR254" s="61" t="s">
        <v>755</v>
      </c>
      <c r="AS254" s="91">
        <v>0</v>
      </c>
      <c r="AT254" s="75">
        <v>0.5</v>
      </c>
      <c r="AU254" s="61"/>
      <c r="AV254" s="61"/>
      <c r="AW254" s="80"/>
      <c r="BM254" s="68"/>
      <c r="BN254" s="61"/>
      <c r="BO254" s="77">
        <v>4.2000000000000003E-2</v>
      </c>
      <c r="BP254" s="75">
        <v>0.05</v>
      </c>
      <c r="BQ254" s="61"/>
      <c r="BR254" s="61"/>
      <c r="BS254" s="77"/>
      <c r="BT254" s="75"/>
      <c r="BU254" s="61"/>
      <c r="BV254" s="80"/>
      <c r="BX254" s="133">
        <v>13.5</v>
      </c>
      <c r="BY254" s="133">
        <v>40</v>
      </c>
      <c r="BZ254" s="133">
        <v>300</v>
      </c>
      <c r="CA254" s="133">
        <v>75</v>
      </c>
      <c r="CB254" s="133" t="s">
        <v>313</v>
      </c>
      <c r="CC254" s="57" t="s">
        <v>62</v>
      </c>
      <c r="CD254" s="57">
        <v>-7</v>
      </c>
    </row>
    <row r="255" spans="17:82" x14ac:dyDescent="0.25">
      <c r="Q255" s="133" t="s">
        <v>749</v>
      </c>
      <c r="R255" s="133"/>
      <c r="S255" s="133"/>
      <c r="U255" s="147" t="s">
        <v>717</v>
      </c>
      <c r="V255" s="148"/>
      <c r="W255" s="130" t="str">
        <f>IF(W248&gt;0%,"REV","SPEED")</f>
        <v>SPEED</v>
      </c>
      <c r="X255" s="130"/>
      <c r="Y255" s="130">
        <v>-6</v>
      </c>
      <c r="Z255" s="64">
        <v>0.45</v>
      </c>
      <c r="AA255" s="99">
        <v>1</v>
      </c>
      <c r="AC255" s="147" t="s">
        <v>773</v>
      </c>
      <c r="AD255" s="148"/>
      <c r="AE255" s="104"/>
      <c r="AF255" s="130"/>
      <c r="AG255" s="130"/>
      <c r="AH255" s="130"/>
      <c r="AI255" s="130"/>
      <c r="AJ255" s="63"/>
      <c r="AL255" s="129"/>
      <c r="AM255" s="61"/>
      <c r="AN255" s="148" t="s">
        <v>753</v>
      </c>
      <c r="AO255" s="148"/>
      <c r="AP255" s="130">
        <f>(3.375)</f>
        <v>3.375</v>
      </c>
      <c r="AQ255" s="61"/>
      <c r="AR255" s="61"/>
      <c r="AS255" s="91">
        <v>0.1</v>
      </c>
      <c r="AT255" s="75">
        <v>0.45</v>
      </c>
      <c r="AU255" s="61"/>
      <c r="AV255" s="61"/>
      <c r="AW255" s="80"/>
      <c r="BM255" s="68"/>
      <c r="BN255" s="61"/>
      <c r="BO255" s="77">
        <v>4.2999999999999997E-2</v>
      </c>
      <c r="BP255" s="75">
        <v>7.4999999999999997E-2</v>
      </c>
      <c r="BQ255" s="61"/>
      <c r="BR255" s="61"/>
      <c r="BS255" s="77"/>
      <c r="BT255" s="75"/>
      <c r="BU255" s="61"/>
      <c r="BV255" s="80"/>
      <c r="BX255" s="133">
        <v>14</v>
      </c>
      <c r="BY255" s="133">
        <v>45</v>
      </c>
      <c r="BZ255" s="133">
        <v>300</v>
      </c>
      <c r="CA255" s="133">
        <v>75</v>
      </c>
      <c r="CB255" s="133" t="s">
        <v>314</v>
      </c>
      <c r="CC255" s="57" t="s">
        <v>61</v>
      </c>
      <c r="CD255" s="57">
        <v>-6</v>
      </c>
    </row>
    <row r="256" spans="17:82" x14ac:dyDescent="0.25">
      <c r="U256" s="147" t="s">
        <v>753</v>
      </c>
      <c r="V256" s="148"/>
      <c r="W256" s="130">
        <f>(3.375)</f>
        <v>3.375</v>
      </c>
      <c r="X256" s="130"/>
      <c r="Y256" s="130">
        <v>-5</v>
      </c>
      <c r="Z256" s="64">
        <v>0.375</v>
      </c>
      <c r="AA256" s="99">
        <v>0.9</v>
      </c>
      <c r="AC256" s="114">
        <v>0.5</v>
      </c>
      <c r="AD256" s="130">
        <f>IF(AE235&lt;0%,((AE237+((AE238-AE237)*ABS(AE235)))),((AE237-((AE237-AE238)*ABS(AE235)))))</f>
        <v>5.2649999999999997</v>
      </c>
      <c r="AE256" s="117"/>
      <c r="AF256" s="130"/>
      <c r="AG256" s="130"/>
      <c r="AH256" s="130"/>
      <c r="AI256" s="130"/>
      <c r="AJ256" s="63"/>
      <c r="AL256" s="129"/>
      <c r="AM256" s="61"/>
      <c r="AN256" s="148" t="s">
        <v>774</v>
      </c>
      <c r="AO256" s="148"/>
      <c r="AP256" s="130">
        <f>IF(AP254="HEAVY",1.6875,5.0625)</f>
        <v>1.6875</v>
      </c>
      <c r="AQ256" s="61"/>
      <c r="AR256" s="61"/>
      <c r="AS256" s="91">
        <v>0.2</v>
      </c>
      <c r="AT256" s="75">
        <v>0.4</v>
      </c>
      <c r="AU256" s="61"/>
      <c r="AV256" s="61"/>
      <c r="AW256" s="80"/>
      <c r="BM256" s="68"/>
      <c r="BN256" s="61"/>
      <c r="BO256" s="77">
        <v>4.3999999999999997E-2</v>
      </c>
      <c r="BP256" s="75">
        <v>0.1</v>
      </c>
      <c r="BQ256" s="61"/>
      <c r="BR256" s="61"/>
      <c r="BS256" s="77"/>
      <c r="BT256" s="75"/>
      <c r="BU256" s="61"/>
      <c r="BV256" s="80"/>
      <c r="BX256" s="133">
        <v>14.5</v>
      </c>
      <c r="BY256" s="133">
        <v>50</v>
      </c>
      <c r="BZ256" s="133">
        <v>300</v>
      </c>
      <c r="CA256" s="133">
        <v>75</v>
      </c>
      <c r="CB256" s="133" t="s">
        <v>315</v>
      </c>
      <c r="CC256" s="57" t="s">
        <v>61</v>
      </c>
      <c r="CD256" s="57">
        <v>-5</v>
      </c>
    </row>
    <row r="257" spans="21:82" x14ac:dyDescent="0.25">
      <c r="U257" s="147" t="s">
        <v>774</v>
      </c>
      <c r="V257" s="148"/>
      <c r="W257" s="130">
        <f>IF(W255="REV",5.0625,1.6875)</f>
        <v>1.6875</v>
      </c>
      <c r="X257" s="61" t="s">
        <v>718</v>
      </c>
      <c r="Y257" s="130">
        <v>-4</v>
      </c>
      <c r="Z257" s="64">
        <v>0.3</v>
      </c>
      <c r="AA257" s="99">
        <v>0.8</v>
      </c>
      <c r="AC257" s="114">
        <v>0</v>
      </c>
      <c r="AD257" s="130">
        <f>IF(AE244="HIGH",((AE245+((AE246-AE245)*ABS(AE235)))),((AE245-((AE245-AE246)*ABS(AE235)))))</f>
        <v>3.5775000000000001</v>
      </c>
      <c r="AE257" s="130"/>
      <c r="AF257" s="130"/>
      <c r="AG257" s="130"/>
      <c r="AH257" s="130"/>
      <c r="AI257" s="130"/>
      <c r="AJ257" s="63"/>
      <c r="AL257" s="129"/>
      <c r="AM257" s="61"/>
      <c r="AN257" s="148" t="s">
        <v>770</v>
      </c>
      <c r="AO257" s="148"/>
      <c r="AP257" s="130">
        <f>IF(AP254="HEAVY",((AP255-((AP255-AP256)*ABS(AP244)))),((AP255+((AP256-AP255)*ABS(AP244)))))</f>
        <v>3.3328125000000002</v>
      </c>
      <c r="AQ257" s="61"/>
      <c r="AR257" s="61"/>
      <c r="AS257" s="91">
        <v>0.3</v>
      </c>
      <c r="AT257" s="75">
        <v>0.35</v>
      </c>
      <c r="AU257" s="61"/>
      <c r="AV257" s="61"/>
      <c r="AW257" s="80"/>
      <c r="BM257" s="68"/>
      <c r="BN257" s="61"/>
      <c r="BO257" s="77">
        <v>4.4999999999999998E-2</v>
      </c>
      <c r="BP257" s="75">
        <v>0.125</v>
      </c>
      <c r="BQ257" s="61"/>
      <c r="BR257" s="61"/>
      <c r="BS257" s="77"/>
      <c r="BT257" s="75"/>
      <c r="BU257" s="61"/>
      <c r="BV257" s="80"/>
      <c r="BX257" s="133">
        <v>15</v>
      </c>
      <c r="BY257" s="133">
        <v>55</v>
      </c>
      <c r="BZ257" s="133">
        <v>300</v>
      </c>
      <c r="CA257" s="133">
        <v>75</v>
      </c>
      <c r="CB257" s="133" t="s">
        <v>316</v>
      </c>
      <c r="CC257" s="57" t="s">
        <v>61</v>
      </c>
      <c r="CD257" s="57">
        <v>-4</v>
      </c>
    </row>
    <row r="258" spans="21:82" x14ac:dyDescent="0.25">
      <c r="U258" s="147" t="s">
        <v>770</v>
      </c>
      <c r="V258" s="148"/>
      <c r="W258" s="130">
        <f>IF(W255="REV",((W256+((W257-W256)*ABS(W248)))),((W256-((W256-W257)*ABS(W248)))))</f>
        <v>3.375</v>
      </c>
      <c r="X258" s="130"/>
      <c r="Y258" s="130">
        <v>-3</v>
      </c>
      <c r="Z258" s="64">
        <v>0.22500000000000001</v>
      </c>
      <c r="AA258" s="99">
        <v>0.7</v>
      </c>
      <c r="AC258" s="114">
        <v>-0.5</v>
      </c>
      <c r="AD258" s="130">
        <f>IF(AE235&lt;0%,((AE249+((AE250-AE249)*ABS(AE235)))),((AE249-((AE249-AE250)*ABS(AE235)))))</f>
        <v>1.89</v>
      </c>
      <c r="AE258" s="130"/>
      <c r="AF258" s="130"/>
      <c r="AG258" s="130"/>
      <c r="AH258" s="130"/>
      <c r="AI258" s="130"/>
      <c r="AJ258" s="63"/>
      <c r="AL258" s="129"/>
      <c r="AM258" s="61"/>
      <c r="AN258" s="148" t="s">
        <v>754</v>
      </c>
      <c r="AO258" s="148"/>
      <c r="AP258" s="65">
        <f>(BC215)</f>
        <v>-0.5</v>
      </c>
      <c r="AQ258" s="61"/>
      <c r="AR258" s="61" t="s">
        <v>723</v>
      </c>
      <c r="AS258" s="91">
        <v>0.4</v>
      </c>
      <c r="AT258" s="75">
        <v>0.3</v>
      </c>
      <c r="AU258" s="61"/>
      <c r="AV258" s="61"/>
      <c r="AW258" s="80"/>
      <c r="BM258" s="68"/>
      <c r="BN258" s="61"/>
      <c r="BO258" s="77">
        <v>4.5999999999999999E-2</v>
      </c>
      <c r="BP258" s="75">
        <v>0.15</v>
      </c>
      <c r="BQ258" s="61"/>
      <c r="BR258" s="61"/>
      <c r="BS258" s="77"/>
      <c r="BT258" s="75"/>
      <c r="BU258" s="61"/>
      <c r="BV258" s="80"/>
      <c r="BX258" s="133">
        <v>15.5</v>
      </c>
      <c r="BY258" s="133">
        <v>60</v>
      </c>
      <c r="BZ258" s="133">
        <v>300</v>
      </c>
      <c r="CA258" s="133">
        <v>75</v>
      </c>
      <c r="CB258" s="133" t="s">
        <v>317</v>
      </c>
      <c r="CC258" s="57" t="s">
        <v>60</v>
      </c>
      <c r="CD258" s="57">
        <v>-3</v>
      </c>
    </row>
    <row r="259" spans="21:82" ht="15.75" thickBot="1" x14ac:dyDescent="0.3">
      <c r="U259" s="147" t="s">
        <v>754</v>
      </c>
      <c r="V259" s="148"/>
      <c r="W259" s="64">
        <f>(BC215)</f>
        <v>-0.5</v>
      </c>
      <c r="X259" s="130"/>
      <c r="Y259" s="130">
        <v>-2</v>
      </c>
      <c r="Z259" s="64">
        <v>0.15</v>
      </c>
      <c r="AA259" s="99">
        <v>0.6</v>
      </c>
      <c r="AC259" s="131"/>
      <c r="AD259" s="132"/>
      <c r="AE259" s="132"/>
      <c r="AF259" s="132"/>
      <c r="AG259" s="132"/>
      <c r="AH259" s="132"/>
      <c r="AI259" s="132"/>
      <c r="AJ259" s="118"/>
      <c r="AL259" s="129"/>
      <c r="AM259" s="61"/>
      <c r="AN259" s="148" t="s">
        <v>753</v>
      </c>
      <c r="AO259" s="148"/>
      <c r="AP259" s="130">
        <f>0+(3.375*ABS(AP245))</f>
        <v>1.6875</v>
      </c>
      <c r="AQ259" s="61"/>
      <c r="AR259" s="61"/>
      <c r="AS259" s="91">
        <v>0.5</v>
      </c>
      <c r="AT259" s="75">
        <v>0.25</v>
      </c>
      <c r="AU259" s="61"/>
      <c r="AV259" s="61"/>
      <c r="AW259" s="80"/>
      <c r="BM259" s="68"/>
      <c r="BN259" s="61"/>
      <c r="BO259" s="77">
        <v>4.7E-2</v>
      </c>
      <c r="BP259" s="75">
        <v>0.17499999999999999</v>
      </c>
      <c r="BQ259" s="61"/>
      <c r="BR259" s="61"/>
      <c r="BS259" s="77"/>
      <c r="BT259" s="75"/>
      <c r="BU259" s="61"/>
      <c r="BV259" s="80"/>
      <c r="BX259" s="133">
        <v>16</v>
      </c>
      <c r="BY259" s="133">
        <v>65</v>
      </c>
      <c r="BZ259" s="133">
        <v>300</v>
      </c>
      <c r="CA259" s="133">
        <v>75</v>
      </c>
      <c r="CB259" s="133" t="s">
        <v>318</v>
      </c>
      <c r="CC259" s="57" t="s">
        <v>60</v>
      </c>
      <c r="CD259" s="57">
        <v>-2</v>
      </c>
    </row>
    <row r="260" spans="21:82" x14ac:dyDescent="0.25">
      <c r="U260" s="147" t="s">
        <v>753</v>
      </c>
      <c r="V260" s="148"/>
      <c r="W260" s="130">
        <f>0+(3.375*ABS(W249))</f>
        <v>1.6875</v>
      </c>
      <c r="X260" s="130"/>
      <c r="Y260" s="130">
        <v>-1</v>
      </c>
      <c r="Z260" s="64">
        <v>7.4999999999999997E-2</v>
      </c>
      <c r="AA260" s="99">
        <v>0.5</v>
      </c>
      <c r="AL260" s="129"/>
      <c r="AM260" s="61"/>
      <c r="AN260" s="148" t="s">
        <v>714</v>
      </c>
      <c r="AO260" s="148"/>
      <c r="AP260" s="130">
        <f>IF(AP244&gt;0%,3.375,0)</f>
        <v>0</v>
      </c>
      <c r="AQ260" s="61"/>
      <c r="AR260" s="61"/>
      <c r="AS260" s="91">
        <v>0.6</v>
      </c>
      <c r="AT260" s="75">
        <v>0.2</v>
      </c>
      <c r="AU260" s="61"/>
      <c r="AV260" s="61"/>
      <c r="AW260" s="80"/>
      <c r="BM260" s="68"/>
      <c r="BN260" s="61"/>
      <c r="BO260" s="77">
        <v>4.8000000000000001E-2</v>
      </c>
      <c r="BP260" s="75">
        <v>0.2</v>
      </c>
      <c r="BQ260" s="61"/>
      <c r="BR260" s="61"/>
      <c r="BS260" s="77"/>
      <c r="BT260" s="75"/>
      <c r="BU260" s="61"/>
      <c r="BV260" s="80"/>
      <c r="BX260" s="133">
        <v>16.5</v>
      </c>
      <c r="BY260" s="133">
        <v>70</v>
      </c>
      <c r="BZ260" s="133">
        <v>300</v>
      </c>
      <c r="CA260" s="133">
        <v>75</v>
      </c>
      <c r="CB260" s="133" t="s">
        <v>319</v>
      </c>
      <c r="CC260" s="57" t="s">
        <v>60</v>
      </c>
      <c r="CD260" s="57">
        <v>-1</v>
      </c>
    </row>
    <row r="261" spans="21:82" x14ac:dyDescent="0.25">
      <c r="U261" s="147" t="s">
        <v>714</v>
      </c>
      <c r="V261" s="148"/>
      <c r="W261" s="130">
        <f>IF(W248&gt;0%,3.375,0)</f>
        <v>0</v>
      </c>
      <c r="X261" s="130" t="s">
        <v>54</v>
      </c>
      <c r="Y261" s="130">
        <v>0</v>
      </c>
      <c r="Z261" s="64">
        <v>0</v>
      </c>
      <c r="AA261" s="99">
        <v>0.5</v>
      </c>
      <c r="AL261" s="129"/>
      <c r="AM261" s="61"/>
      <c r="AN261" s="148" t="s">
        <v>771</v>
      </c>
      <c r="AO261" s="148"/>
      <c r="AP261" s="130">
        <f>IF(AP244&lt;0%,((AP259-((AP259-AP260)*ABS(AP244)))),((AP259+((AP260-AP259)*ABS(AP244)))))</f>
        <v>1.6453125</v>
      </c>
      <c r="AQ261" s="61"/>
      <c r="AR261" s="61"/>
      <c r="AS261" s="91">
        <v>0.7</v>
      </c>
      <c r="AT261" s="75">
        <v>0.15</v>
      </c>
      <c r="AU261" s="61"/>
      <c r="AV261" s="61"/>
      <c r="AW261" s="80"/>
      <c r="BM261" s="68"/>
      <c r="BN261" s="61"/>
      <c r="BO261" s="77">
        <v>4.9000000000000002E-2</v>
      </c>
      <c r="BP261" s="75">
        <v>0.22500000000000001</v>
      </c>
      <c r="BQ261" s="61"/>
      <c r="BR261" s="61"/>
      <c r="BS261" s="77"/>
      <c r="BT261" s="75"/>
      <c r="BU261" s="61"/>
      <c r="BV261" s="80"/>
      <c r="BX261" s="133">
        <v>17</v>
      </c>
      <c r="BY261" s="133">
        <v>75</v>
      </c>
      <c r="BZ261" s="133">
        <v>300</v>
      </c>
      <c r="CA261" s="133">
        <v>75</v>
      </c>
      <c r="CB261" s="133" t="s">
        <v>320</v>
      </c>
      <c r="CC261" s="57" t="s">
        <v>54</v>
      </c>
      <c r="CD261" s="57">
        <v>0</v>
      </c>
    </row>
    <row r="262" spans="21:82" x14ac:dyDescent="0.25">
      <c r="U262" s="147" t="s">
        <v>771</v>
      </c>
      <c r="V262" s="148"/>
      <c r="W262" s="111">
        <f>IF(W248&gt;0%,((W260+((W261-W260)*ABS(W248)))),((W260-((W260-W261)*ABS(W248)))))</f>
        <v>1.6875</v>
      </c>
      <c r="X262" s="130"/>
      <c r="Y262" s="130">
        <v>1</v>
      </c>
      <c r="Z262" s="64">
        <v>-7.4999999999999997E-2</v>
      </c>
      <c r="AA262" s="99">
        <v>0.5</v>
      </c>
      <c r="AL262" s="129"/>
      <c r="AM262" s="61"/>
      <c r="AN262" s="148" t="s">
        <v>754</v>
      </c>
      <c r="AO262" s="148"/>
      <c r="AP262" s="64">
        <f>VLOOKUP(G15,BB213:BC215,2,FALSE)</f>
        <v>0</v>
      </c>
      <c r="AQ262" s="61"/>
      <c r="AR262" s="61" t="s">
        <v>725</v>
      </c>
      <c r="AS262" s="91">
        <v>0.8</v>
      </c>
      <c r="AT262" s="75">
        <v>0.1</v>
      </c>
      <c r="AU262" s="61"/>
      <c r="AV262" s="61"/>
      <c r="AW262" s="80"/>
      <c r="BM262" s="68"/>
      <c r="BN262" s="61"/>
      <c r="BO262" s="77">
        <v>0.05</v>
      </c>
      <c r="BP262" s="75">
        <v>0.25</v>
      </c>
      <c r="BQ262" s="61"/>
      <c r="BR262" s="61"/>
      <c r="BS262" s="77"/>
      <c r="BT262" s="75"/>
      <c r="BU262" s="61"/>
      <c r="BV262" s="80"/>
      <c r="BX262" s="133">
        <v>17.5</v>
      </c>
      <c r="BY262" s="133">
        <v>80</v>
      </c>
      <c r="BZ262" s="133">
        <v>300</v>
      </c>
      <c r="CA262" s="133">
        <v>75</v>
      </c>
      <c r="CB262" s="133" t="s">
        <v>321</v>
      </c>
      <c r="CC262" s="57" t="s">
        <v>55</v>
      </c>
      <c r="CD262" s="57">
        <v>1</v>
      </c>
    </row>
    <row r="263" spans="21:82" x14ac:dyDescent="0.25">
      <c r="U263" s="147" t="s">
        <v>754</v>
      </c>
      <c r="V263" s="148"/>
      <c r="W263" s="64">
        <f>VLOOKUP(G15,BB213:BC215,2,FALSE)</f>
        <v>0</v>
      </c>
      <c r="X263" s="130"/>
      <c r="Y263" s="130">
        <v>2</v>
      </c>
      <c r="Z263" s="64">
        <v>-0.15</v>
      </c>
      <c r="AA263" s="99">
        <v>0.4</v>
      </c>
      <c r="AL263" s="129"/>
      <c r="AM263" s="61"/>
      <c r="AN263" s="148" t="s">
        <v>741</v>
      </c>
      <c r="AO263" s="148"/>
      <c r="AP263" s="130">
        <f>VLOOKUP(AP262,AN266:AO268,2,FALSE)</f>
        <v>3.3328125000000002</v>
      </c>
      <c r="AQ263" s="61"/>
      <c r="AR263" s="61"/>
      <c r="AS263" s="61"/>
      <c r="AT263" s="61"/>
      <c r="AU263" s="61"/>
      <c r="AV263" s="61"/>
      <c r="AW263" s="80"/>
      <c r="BM263" s="68"/>
      <c r="BN263" s="61"/>
      <c r="BO263" s="77">
        <v>5.0999999999999997E-2</v>
      </c>
      <c r="BP263" s="75">
        <v>0.27500000000000002</v>
      </c>
      <c r="BQ263" s="61"/>
      <c r="BR263" s="61"/>
      <c r="BS263" s="77"/>
      <c r="BT263" s="75"/>
      <c r="BU263" s="61"/>
      <c r="BV263" s="80"/>
      <c r="BX263" s="133">
        <v>18</v>
      </c>
      <c r="BY263" s="133">
        <v>85</v>
      </c>
      <c r="BZ263" s="133">
        <v>300</v>
      </c>
      <c r="CA263" s="133">
        <v>75</v>
      </c>
      <c r="CB263" s="133" t="s">
        <v>322</v>
      </c>
      <c r="CC263" s="57" t="s">
        <v>55</v>
      </c>
      <c r="CD263" s="57">
        <v>2</v>
      </c>
    </row>
    <row r="264" spans="21:82" x14ac:dyDescent="0.25">
      <c r="U264" s="147" t="s">
        <v>741</v>
      </c>
      <c r="V264" s="148"/>
      <c r="W264" s="130">
        <f>VLOOKUP(W263,U267:V269,2,FALSE)</f>
        <v>2.53125</v>
      </c>
      <c r="X264" s="130"/>
      <c r="Y264" s="130">
        <v>3</v>
      </c>
      <c r="Z264" s="64">
        <v>-0.22500000000000001</v>
      </c>
      <c r="AA264" s="99">
        <v>0.3</v>
      </c>
      <c r="AL264" s="129"/>
      <c r="AM264" s="61"/>
      <c r="AN264" s="148"/>
      <c r="AO264" s="148"/>
      <c r="AP264" s="61"/>
      <c r="AQ264" s="61"/>
      <c r="AR264" s="61"/>
      <c r="AS264" s="61"/>
      <c r="AT264" s="61"/>
      <c r="AU264" s="61"/>
      <c r="AV264" s="61"/>
      <c r="AW264" s="80"/>
      <c r="BM264" s="68"/>
      <c r="BN264" s="61"/>
      <c r="BO264" s="77">
        <v>5.1999999999999998E-2</v>
      </c>
      <c r="BP264" s="75">
        <v>0.3</v>
      </c>
      <c r="BQ264" s="61"/>
      <c r="BR264" s="61"/>
      <c r="BS264" s="77"/>
      <c r="BT264" s="75"/>
      <c r="BU264" s="61"/>
      <c r="BV264" s="80"/>
      <c r="BX264" s="133">
        <v>18.5</v>
      </c>
      <c r="BY264" s="133">
        <v>90</v>
      </c>
      <c r="BZ264" s="133">
        <v>300</v>
      </c>
      <c r="CA264" s="133">
        <v>75</v>
      </c>
      <c r="CB264" s="133" t="s">
        <v>323</v>
      </c>
      <c r="CC264" s="57" t="s">
        <v>55</v>
      </c>
      <c r="CD264" s="57">
        <v>3</v>
      </c>
    </row>
    <row r="265" spans="21:82" x14ac:dyDescent="0.25">
      <c r="U265" s="147"/>
      <c r="V265" s="148"/>
      <c r="W265" s="104"/>
      <c r="X265" s="61" t="s">
        <v>719</v>
      </c>
      <c r="Y265" s="130">
        <v>4</v>
      </c>
      <c r="Z265" s="64">
        <v>-0.3</v>
      </c>
      <c r="AA265" s="99">
        <v>0.2</v>
      </c>
      <c r="AL265" s="129"/>
      <c r="AM265" s="61"/>
      <c r="AN265" s="148" t="s">
        <v>773</v>
      </c>
      <c r="AO265" s="148"/>
      <c r="AP265" s="61"/>
      <c r="AQ265" s="61"/>
      <c r="AR265" s="61"/>
      <c r="AS265" s="61"/>
      <c r="AT265" s="61"/>
      <c r="AU265" s="61"/>
      <c r="AV265" s="61"/>
      <c r="AW265" s="80"/>
      <c r="BM265" s="68"/>
      <c r="BN265" s="61"/>
      <c r="BO265" s="77">
        <v>5.2999999999999999E-2</v>
      </c>
      <c r="BP265" s="75">
        <v>0.32500000000000001</v>
      </c>
      <c r="BQ265" s="61"/>
      <c r="BR265" s="61"/>
      <c r="BS265" s="77"/>
      <c r="BT265" s="75"/>
      <c r="BU265" s="61"/>
      <c r="BV265" s="80"/>
      <c r="BX265" s="133">
        <v>19</v>
      </c>
      <c r="BY265" s="133">
        <v>95</v>
      </c>
      <c r="BZ265" s="133">
        <v>300</v>
      </c>
      <c r="CA265" s="133">
        <v>75</v>
      </c>
      <c r="CB265" s="133" t="s">
        <v>324</v>
      </c>
      <c r="CC265" s="57" t="s">
        <v>56</v>
      </c>
      <c r="CD265" s="57">
        <v>4</v>
      </c>
    </row>
    <row r="266" spans="21:82" x14ac:dyDescent="0.25">
      <c r="U266" s="147" t="s">
        <v>773</v>
      </c>
      <c r="V266" s="148"/>
      <c r="W266" s="104"/>
      <c r="X266" s="130"/>
      <c r="Y266" s="130">
        <v>5</v>
      </c>
      <c r="Z266" s="64">
        <v>-0.375</v>
      </c>
      <c r="AA266" s="99">
        <v>0.1</v>
      </c>
      <c r="AL266" s="129"/>
      <c r="AM266" s="61"/>
      <c r="AN266" s="119">
        <v>0.5</v>
      </c>
      <c r="AO266" s="130">
        <f>IF(AP244&lt;0%,((AP246+((AP247-AP246)*ABS(AP244)))),((AP246-((AP246-AP247)*ABS(AP244)))))</f>
        <v>5.0203125000000002</v>
      </c>
      <c r="AP266" s="61"/>
      <c r="AQ266" s="61"/>
      <c r="AR266" s="61"/>
      <c r="AS266" s="61"/>
      <c r="AT266" s="61"/>
      <c r="AU266" s="61"/>
      <c r="AV266" s="61"/>
      <c r="AW266" s="80"/>
      <c r="BM266" s="68"/>
      <c r="BN266" s="61"/>
      <c r="BO266" s="77">
        <v>5.3999999999999999E-2</v>
      </c>
      <c r="BP266" s="75">
        <v>0.35</v>
      </c>
      <c r="BQ266" s="61"/>
      <c r="BR266" s="61"/>
      <c r="BS266" s="77"/>
      <c r="BT266" s="75"/>
      <c r="BU266" s="61"/>
      <c r="BV266" s="80"/>
      <c r="BX266" s="133">
        <v>19.5</v>
      </c>
      <c r="BY266" s="133">
        <v>100</v>
      </c>
      <c r="BZ266" s="133">
        <v>300</v>
      </c>
      <c r="CA266" s="133">
        <v>75</v>
      </c>
      <c r="CB266" s="133" t="s">
        <v>325</v>
      </c>
      <c r="CC266" s="57" t="s">
        <v>56</v>
      </c>
      <c r="CD266" s="57">
        <v>5</v>
      </c>
    </row>
    <row r="267" spans="21:82" x14ac:dyDescent="0.25">
      <c r="U267" s="114">
        <v>0.5</v>
      </c>
      <c r="V267" s="130">
        <f>IF(W248&gt;0%,((W250-((W250-W251)*ABS(W248)))),((W250+((W251-W250)*ABS(W248)))))</f>
        <v>5.0625</v>
      </c>
      <c r="W267" s="117"/>
      <c r="X267" s="130"/>
      <c r="Y267" s="130">
        <v>6</v>
      </c>
      <c r="Z267" s="64">
        <v>-0.45</v>
      </c>
      <c r="AA267" s="99">
        <v>0</v>
      </c>
      <c r="AL267" s="129"/>
      <c r="AM267" s="61"/>
      <c r="AN267" s="119">
        <v>0</v>
      </c>
      <c r="AO267" s="130">
        <f>IF(AP254="HEAVY",((AP255-((AP255-AP256)*ABS(AP244)))),((AP255+((AP256-AP255)*ABS(AP244)))))</f>
        <v>3.3328125000000002</v>
      </c>
      <c r="AP267" s="61"/>
      <c r="AQ267" s="61"/>
      <c r="AR267" s="61"/>
      <c r="AS267" s="61"/>
      <c r="AT267" s="61"/>
      <c r="AU267" s="61"/>
      <c r="AV267" s="61"/>
      <c r="AW267" s="80"/>
      <c r="BM267" s="68"/>
      <c r="BN267" s="61"/>
      <c r="BO267" s="77">
        <v>5.5E-2</v>
      </c>
      <c r="BP267" s="75">
        <v>0.375</v>
      </c>
      <c r="BQ267" s="61"/>
      <c r="BR267" s="61"/>
      <c r="BS267" s="77"/>
      <c r="BT267" s="75"/>
      <c r="BU267" s="61"/>
      <c r="BV267" s="80"/>
      <c r="BX267" s="133">
        <v>20</v>
      </c>
      <c r="BY267" s="133">
        <v>105</v>
      </c>
      <c r="BZ267" s="133">
        <v>300</v>
      </c>
      <c r="CA267" s="133">
        <v>75</v>
      </c>
      <c r="CB267" s="133" t="s">
        <v>326</v>
      </c>
      <c r="CC267" s="57" t="s">
        <v>56</v>
      </c>
      <c r="CD267" s="57">
        <v>6</v>
      </c>
    </row>
    <row r="268" spans="21:82" ht="15.75" thickBot="1" x14ac:dyDescent="0.3">
      <c r="U268" s="114">
        <v>0</v>
      </c>
      <c r="V268" s="130">
        <f>IF(W255=FALSE,((W256+((W257-W256)*ABS(W253)))),((W256-((W256-W257)*ABS(W253)))))</f>
        <v>2.53125</v>
      </c>
      <c r="W268" s="130"/>
      <c r="X268" s="130"/>
      <c r="Y268" s="130">
        <v>7</v>
      </c>
      <c r="Z268" s="64">
        <v>-0.52500000000000002</v>
      </c>
      <c r="AA268" s="99">
        <v>0</v>
      </c>
      <c r="AL268" s="131"/>
      <c r="AM268" s="95"/>
      <c r="AN268" s="120">
        <v>-0.5</v>
      </c>
      <c r="AO268" s="132">
        <f>IF(AP244&lt;0%,((AP259-((AP259-AP260)*ABS(AP244)))),((AP259+((AP260-AP259)*ABS(AP244)))))</f>
        <v>1.6453125</v>
      </c>
      <c r="AP268" s="95"/>
      <c r="AQ268" s="95"/>
      <c r="AR268" s="95"/>
      <c r="AS268" s="95"/>
      <c r="AT268" s="95"/>
      <c r="AU268" s="95"/>
      <c r="AV268" s="95"/>
      <c r="AW268" s="96"/>
      <c r="BM268" s="68"/>
      <c r="BN268" s="61"/>
      <c r="BO268" s="77">
        <v>5.6000000000000001E-2</v>
      </c>
      <c r="BP268" s="75">
        <v>0.4</v>
      </c>
      <c r="BQ268" s="61"/>
      <c r="BR268" s="61"/>
      <c r="BS268" s="77"/>
      <c r="BT268" s="75"/>
      <c r="BU268" s="61"/>
      <c r="BV268" s="80"/>
      <c r="BX268" s="133">
        <v>20.5</v>
      </c>
      <c r="BY268" s="133">
        <v>110</v>
      </c>
      <c r="BZ268" s="133">
        <v>300</v>
      </c>
      <c r="CA268" s="133">
        <v>75</v>
      </c>
      <c r="CB268" s="133" t="s">
        <v>327</v>
      </c>
      <c r="CC268" s="57" t="s">
        <v>57</v>
      </c>
      <c r="CD268" s="57">
        <v>7</v>
      </c>
    </row>
    <row r="269" spans="21:82" x14ac:dyDescent="0.25">
      <c r="U269" s="114">
        <v>-0.5</v>
      </c>
      <c r="V269" s="130">
        <f>IF(W248&gt;0%,((W260+((W261-W260)*ABS(W248)))),((W260-((W260-W261)*ABS(W248)))))</f>
        <v>1.6875</v>
      </c>
      <c r="W269" s="130"/>
      <c r="X269" s="61" t="s">
        <v>57</v>
      </c>
      <c r="Y269" s="130">
        <v>8</v>
      </c>
      <c r="Z269" s="64">
        <v>-0.6</v>
      </c>
      <c r="AA269" s="99">
        <v>0</v>
      </c>
      <c r="AL269" s="133"/>
      <c r="BM269" s="68"/>
      <c r="BN269" s="61"/>
      <c r="BO269" s="77">
        <v>5.7000000000000002E-2</v>
      </c>
      <c r="BP269" s="75">
        <v>0.42499999999999999</v>
      </c>
      <c r="BQ269" s="61"/>
      <c r="BR269" s="61"/>
      <c r="BS269" s="77"/>
      <c r="BT269" s="75"/>
      <c r="BU269" s="61"/>
      <c r="BV269" s="80"/>
      <c r="BX269" s="133">
        <v>21</v>
      </c>
      <c r="BY269" s="133">
        <v>115</v>
      </c>
      <c r="BZ269" s="133">
        <v>300</v>
      </c>
      <c r="CA269" s="133">
        <v>75</v>
      </c>
      <c r="CB269" s="133" t="s">
        <v>328</v>
      </c>
      <c r="CC269" s="57" t="s">
        <v>57</v>
      </c>
      <c r="CD269" s="57">
        <v>8</v>
      </c>
    </row>
    <row r="270" spans="21:82" x14ac:dyDescent="0.25">
      <c r="U270" s="129"/>
      <c r="V270" s="130"/>
      <c r="W270" s="130"/>
      <c r="X270" s="130"/>
      <c r="Y270" s="130">
        <v>9</v>
      </c>
      <c r="Z270" s="64">
        <v>-0.67500000000000004</v>
      </c>
      <c r="AA270" s="99">
        <v>0</v>
      </c>
      <c r="AL270" s="133"/>
      <c r="BM270" s="68"/>
      <c r="BN270" s="61"/>
      <c r="BO270" s="77">
        <v>5.8000000000000003E-2</v>
      </c>
      <c r="BP270" s="75">
        <v>0.45</v>
      </c>
      <c r="BQ270" s="61"/>
      <c r="BR270" s="61"/>
      <c r="BS270" s="77"/>
      <c r="BT270" s="75"/>
      <c r="BU270" s="61"/>
      <c r="BV270" s="80"/>
      <c r="BX270" s="133">
        <v>21.5</v>
      </c>
      <c r="BY270" s="133">
        <v>120</v>
      </c>
      <c r="BZ270" s="133">
        <v>300</v>
      </c>
      <c r="CA270" s="133">
        <v>75</v>
      </c>
      <c r="CB270" s="133" t="s">
        <v>329</v>
      </c>
      <c r="CC270" s="57" t="s">
        <v>57</v>
      </c>
      <c r="CD270" s="57">
        <v>9</v>
      </c>
    </row>
    <row r="271" spans="21:82" x14ac:dyDescent="0.25">
      <c r="U271" s="129"/>
      <c r="V271" s="130"/>
      <c r="W271" s="130"/>
      <c r="X271" s="130"/>
      <c r="Y271" s="130">
        <v>10</v>
      </c>
      <c r="Z271" s="64">
        <v>-0.75</v>
      </c>
      <c r="AA271" s="99">
        <v>0</v>
      </c>
      <c r="AL271" s="133"/>
      <c r="BM271" s="68"/>
      <c r="BN271" s="61"/>
      <c r="BO271" s="77">
        <v>5.8999999999999997E-2</v>
      </c>
      <c r="BP271" s="75">
        <v>0.47499999999999998</v>
      </c>
      <c r="BQ271" s="61"/>
      <c r="BR271" s="61"/>
      <c r="BS271" s="77"/>
      <c r="BT271" s="75"/>
      <c r="BU271" s="61"/>
      <c r="BV271" s="80"/>
      <c r="BX271" s="133">
        <v>22</v>
      </c>
      <c r="BY271" s="133">
        <v>125</v>
      </c>
      <c r="BZ271" s="133">
        <v>300</v>
      </c>
      <c r="CA271" s="133">
        <v>75</v>
      </c>
      <c r="CB271" s="133" t="s">
        <v>330</v>
      </c>
      <c r="CC271" s="57" t="s">
        <v>58</v>
      </c>
      <c r="CD271" s="57">
        <v>10</v>
      </c>
    </row>
    <row r="272" spans="21:82" x14ac:dyDescent="0.25">
      <c r="U272" s="129"/>
      <c r="V272" s="130"/>
      <c r="W272" s="130"/>
      <c r="X272" s="130"/>
      <c r="Y272" s="130">
        <v>11</v>
      </c>
      <c r="Z272" s="64">
        <v>-0.82499999999999996</v>
      </c>
      <c r="AA272" s="99">
        <v>0</v>
      </c>
      <c r="AL272" s="133"/>
      <c r="BM272" s="68"/>
      <c r="BN272" s="61"/>
      <c r="BO272" s="77">
        <v>0.06</v>
      </c>
      <c r="BP272" s="75">
        <v>0.5</v>
      </c>
      <c r="BQ272" s="61"/>
      <c r="BR272" s="61"/>
      <c r="BS272" s="77"/>
      <c r="BT272" s="75"/>
      <c r="BU272" s="61"/>
      <c r="BV272" s="80"/>
      <c r="BX272" s="133">
        <v>22.5</v>
      </c>
      <c r="BY272" s="133">
        <v>130</v>
      </c>
      <c r="BZ272" s="133">
        <v>300</v>
      </c>
      <c r="CA272" s="133">
        <v>75</v>
      </c>
      <c r="CB272" s="133" t="s">
        <v>331</v>
      </c>
      <c r="CC272" s="57" t="s">
        <v>58</v>
      </c>
      <c r="CD272" s="57">
        <v>11</v>
      </c>
    </row>
    <row r="273" spans="21:82" x14ac:dyDescent="0.25">
      <c r="U273" s="129"/>
      <c r="V273" s="130"/>
      <c r="W273" s="130"/>
      <c r="X273" s="130"/>
      <c r="Y273" s="130">
        <v>12</v>
      </c>
      <c r="Z273" s="64">
        <v>-0.9</v>
      </c>
      <c r="AA273" s="99">
        <v>0</v>
      </c>
      <c r="AL273" s="133"/>
      <c r="BM273" s="68"/>
      <c r="BN273" s="61"/>
      <c r="BO273" s="61"/>
      <c r="BP273" s="61"/>
      <c r="BQ273" s="61"/>
      <c r="BR273" s="61"/>
      <c r="BS273" s="61"/>
      <c r="BT273" s="61"/>
      <c r="BU273" s="61"/>
      <c r="BV273" s="80"/>
      <c r="BX273" s="133">
        <v>23</v>
      </c>
      <c r="BY273" s="133">
        <v>135</v>
      </c>
      <c r="BZ273" s="133">
        <v>300</v>
      </c>
      <c r="CA273" s="133">
        <v>75</v>
      </c>
      <c r="CB273" s="133" t="s">
        <v>332</v>
      </c>
      <c r="CC273" s="57" t="s">
        <v>58</v>
      </c>
      <c r="CD273" s="57">
        <v>12</v>
      </c>
    </row>
    <row r="274" spans="21:82" x14ac:dyDescent="0.25">
      <c r="U274" s="129"/>
      <c r="V274" s="130"/>
      <c r="W274" s="130"/>
      <c r="X274" s="130"/>
      <c r="Y274" s="130">
        <v>13</v>
      </c>
      <c r="Z274" s="64">
        <v>-0.97499999999999998</v>
      </c>
      <c r="AA274" s="99">
        <v>0</v>
      </c>
      <c r="AL274" s="133"/>
      <c r="BM274" s="68"/>
      <c r="BN274" s="61"/>
      <c r="BO274" s="61"/>
      <c r="BP274" s="61"/>
      <c r="BQ274" s="61"/>
      <c r="BR274" s="61"/>
      <c r="BS274" s="61"/>
      <c r="BT274" s="61"/>
      <c r="BU274" s="61"/>
      <c r="BV274" s="80"/>
      <c r="BX274" s="133">
        <v>23.5</v>
      </c>
      <c r="BY274" s="133">
        <v>140</v>
      </c>
      <c r="BZ274" s="133">
        <v>300</v>
      </c>
      <c r="CA274" s="133">
        <v>75</v>
      </c>
      <c r="CB274" s="133" t="s">
        <v>333</v>
      </c>
      <c r="CC274" s="57" t="s">
        <v>59</v>
      </c>
      <c r="CD274" s="57">
        <v>13</v>
      </c>
    </row>
    <row r="275" spans="21:82" x14ac:dyDescent="0.25">
      <c r="U275" s="129"/>
      <c r="V275" s="130"/>
      <c r="W275" s="130"/>
      <c r="X275" s="130"/>
      <c r="Y275" s="130">
        <v>14</v>
      </c>
      <c r="Z275" s="64">
        <v>-1</v>
      </c>
      <c r="AA275" s="99">
        <v>0</v>
      </c>
      <c r="AL275" s="133"/>
      <c r="BM275" s="68"/>
      <c r="BN275" s="61"/>
      <c r="BO275" s="61"/>
      <c r="BP275" s="61"/>
      <c r="BQ275" s="61"/>
      <c r="BR275" s="61"/>
      <c r="BS275" s="61"/>
      <c r="BT275" s="61"/>
      <c r="BU275" s="61"/>
      <c r="BV275" s="80"/>
      <c r="BX275" s="133">
        <v>24</v>
      </c>
      <c r="BY275" s="133">
        <v>145</v>
      </c>
      <c r="BZ275" s="133">
        <v>300</v>
      </c>
      <c r="CA275" s="133">
        <v>75</v>
      </c>
      <c r="CB275" s="133" t="s">
        <v>334</v>
      </c>
      <c r="CC275" s="57" t="s">
        <v>59</v>
      </c>
      <c r="CD275" s="57">
        <v>14</v>
      </c>
    </row>
    <row r="276" spans="21:82" x14ac:dyDescent="0.25">
      <c r="U276" s="129"/>
      <c r="V276" s="130"/>
      <c r="W276" s="130"/>
      <c r="X276" s="130"/>
      <c r="Y276" s="130">
        <v>15</v>
      </c>
      <c r="Z276" s="64">
        <v>-1</v>
      </c>
      <c r="AA276" s="99">
        <v>0</v>
      </c>
      <c r="AL276" s="133"/>
      <c r="BM276" s="147" t="s">
        <v>51</v>
      </c>
      <c r="BN276" s="148"/>
      <c r="BO276" s="148"/>
      <c r="BP276" s="61"/>
      <c r="BQ276" s="61"/>
      <c r="BR276" s="61"/>
      <c r="BS276" s="61"/>
      <c r="BT276" s="61"/>
      <c r="BU276" s="61"/>
      <c r="BV276" s="80"/>
      <c r="BX276" s="133">
        <v>24.5</v>
      </c>
      <c r="BY276" s="133">
        <v>150</v>
      </c>
      <c r="BZ276" s="133">
        <v>300</v>
      </c>
      <c r="CA276" s="133">
        <v>75</v>
      </c>
      <c r="CB276" s="133" t="s">
        <v>335</v>
      </c>
      <c r="CC276" s="57" t="s">
        <v>59</v>
      </c>
      <c r="CD276" s="57">
        <v>15</v>
      </c>
    </row>
    <row r="277" spans="21:82" x14ac:dyDescent="0.25">
      <c r="U277" s="129"/>
      <c r="V277" s="130"/>
      <c r="W277" s="130"/>
      <c r="X277" s="130"/>
      <c r="Y277" s="130">
        <v>16</v>
      </c>
      <c r="Z277" s="64">
        <v>-1</v>
      </c>
      <c r="AA277" s="99">
        <v>0</v>
      </c>
      <c r="AL277" s="133"/>
      <c r="BM277" s="147" t="s">
        <v>52</v>
      </c>
      <c r="BN277" s="148"/>
      <c r="BO277" s="64">
        <f>VLOOKUP(G19,BM212:BN246,2,FALSE)</f>
        <v>0.75</v>
      </c>
      <c r="BP277" s="61"/>
      <c r="BQ277" s="61"/>
      <c r="BR277" s="61"/>
      <c r="BS277" s="61"/>
      <c r="BT277" s="61"/>
      <c r="BU277" s="61"/>
      <c r="BV277" s="80"/>
      <c r="BX277" s="133">
        <v>25</v>
      </c>
      <c r="BY277" s="133">
        <v>155</v>
      </c>
      <c r="BZ277" s="133">
        <v>300</v>
      </c>
      <c r="CA277" s="133">
        <v>75</v>
      </c>
      <c r="CB277" s="133" t="s">
        <v>336</v>
      </c>
      <c r="CC277" s="57" t="s">
        <v>59</v>
      </c>
      <c r="CD277" s="57">
        <v>16</v>
      </c>
    </row>
    <row r="278" spans="21:82" x14ac:dyDescent="0.25">
      <c r="U278" s="129"/>
      <c r="V278" s="130"/>
      <c r="W278" s="130"/>
      <c r="X278" s="130"/>
      <c r="Y278" s="130">
        <v>17</v>
      </c>
      <c r="Z278" s="64">
        <v>-1</v>
      </c>
      <c r="AA278" s="99">
        <v>0</v>
      </c>
      <c r="AL278" s="133"/>
      <c r="BM278" s="147" t="s">
        <v>53</v>
      </c>
      <c r="BN278" s="148"/>
      <c r="BO278" s="64">
        <f>VLOOKUP(G20,BO212:BP272,2,FALSE)</f>
        <v>0.25</v>
      </c>
      <c r="BP278" s="61"/>
      <c r="BQ278" s="61"/>
      <c r="BR278" s="61"/>
      <c r="BS278" s="61"/>
      <c r="BT278" s="61"/>
      <c r="BU278" s="61"/>
      <c r="BV278" s="80"/>
      <c r="BX278" s="133">
        <v>10</v>
      </c>
      <c r="BY278" s="133">
        <v>5</v>
      </c>
      <c r="BZ278" s="133">
        <v>325</v>
      </c>
      <c r="CA278" s="133">
        <v>80</v>
      </c>
      <c r="CB278" s="133" t="s">
        <v>337</v>
      </c>
      <c r="CC278" s="57" t="s">
        <v>64</v>
      </c>
      <c r="CD278" s="57">
        <v>-15</v>
      </c>
    </row>
    <row r="279" spans="21:82" x14ac:dyDescent="0.25">
      <c r="U279" s="129"/>
      <c r="V279" s="130"/>
      <c r="W279" s="130"/>
      <c r="X279" s="130"/>
      <c r="Y279" s="130">
        <v>18</v>
      </c>
      <c r="Z279" s="64">
        <v>-1</v>
      </c>
      <c r="AA279" s="99">
        <v>0</v>
      </c>
      <c r="AL279" s="133"/>
      <c r="BM279" s="147" t="s">
        <v>729</v>
      </c>
      <c r="BN279" s="148"/>
      <c r="BO279" s="64">
        <f>((BO277*0.4)+(BO278*0.6))</f>
        <v>0.45000000000000007</v>
      </c>
      <c r="BP279" s="61"/>
      <c r="BQ279" s="61"/>
      <c r="BR279" s="61"/>
      <c r="BS279" s="61"/>
      <c r="BT279" s="61"/>
      <c r="BU279" s="61"/>
      <c r="BV279" s="80"/>
      <c r="BX279" s="133">
        <v>10.5</v>
      </c>
      <c r="BY279" s="133">
        <v>10</v>
      </c>
      <c r="BZ279" s="133">
        <v>325</v>
      </c>
      <c r="CA279" s="133">
        <v>80</v>
      </c>
      <c r="CB279" s="133" t="s">
        <v>338</v>
      </c>
      <c r="CC279" s="57" t="s">
        <v>64</v>
      </c>
      <c r="CD279" s="57">
        <v>-14</v>
      </c>
    </row>
    <row r="280" spans="21:82" x14ac:dyDescent="0.25">
      <c r="U280" s="129"/>
      <c r="V280" s="130"/>
      <c r="W280" s="130"/>
      <c r="X280" s="130"/>
      <c r="Y280" s="130">
        <v>19</v>
      </c>
      <c r="Z280" s="64">
        <v>-1</v>
      </c>
      <c r="AA280" s="99">
        <v>0</v>
      </c>
      <c r="AL280" s="133"/>
      <c r="BM280" s="147" t="s">
        <v>754</v>
      </c>
      <c r="BN280" s="148"/>
      <c r="BO280" s="65">
        <f>BC213</f>
        <v>0.5</v>
      </c>
      <c r="BP280" s="61"/>
      <c r="BQ280" s="61"/>
      <c r="BR280" s="61"/>
      <c r="BS280" s="61"/>
      <c r="BT280" s="61"/>
      <c r="BU280" s="61"/>
      <c r="BV280" s="80"/>
      <c r="BX280" s="133">
        <v>11</v>
      </c>
      <c r="BY280" s="133">
        <v>15</v>
      </c>
      <c r="BZ280" s="133">
        <v>325</v>
      </c>
      <c r="CA280" s="133">
        <v>80</v>
      </c>
      <c r="CB280" s="133" t="s">
        <v>339</v>
      </c>
      <c r="CC280" s="57" t="s">
        <v>64</v>
      </c>
      <c r="CD280" s="57">
        <v>-13</v>
      </c>
    </row>
    <row r="281" spans="21:82" x14ac:dyDescent="0.25">
      <c r="U281" s="129"/>
      <c r="V281" s="130"/>
      <c r="W281" s="130"/>
      <c r="X281" s="130"/>
      <c r="Y281" s="130">
        <v>20</v>
      </c>
      <c r="Z281" s="64">
        <v>-1</v>
      </c>
      <c r="AA281" s="99">
        <v>0</v>
      </c>
      <c r="AL281" s="133"/>
      <c r="BM281" s="147" t="s">
        <v>753</v>
      </c>
      <c r="BN281" s="148"/>
      <c r="BO281" s="130">
        <f>6.75-(3.375*ABS(BO292))</f>
        <v>5.0625</v>
      </c>
      <c r="BP281" s="61"/>
      <c r="BQ281" s="61"/>
      <c r="BR281" s="61"/>
      <c r="BS281" s="61"/>
      <c r="BT281" s="61"/>
      <c r="BU281" s="61"/>
      <c r="BV281" s="80"/>
      <c r="BX281" s="133">
        <v>11.5</v>
      </c>
      <c r="BY281" s="133">
        <v>20</v>
      </c>
      <c r="BZ281" s="133">
        <v>325</v>
      </c>
      <c r="CA281" s="133">
        <v>80</v>
      </c>
      <c r="CB281" s="133" t="s">
        <v>340</v>
      </c>
      <c r="CC281" s="57" t="s">
        <v>63</v>
      </c>
      <c r="CD281" s="57">
        <v>-12</v>
      </c>
    </row>
    <row r="282" spans="21:82" x14ac:dyDescent="0.25">
      <c r="U282" s="129"/>
      <c r="V282" s="130"/>
      <c r="W282" s="130"/>
      <c r="X282" s="130"/>
      <c r="Y282" s="130">
        <v>21</v>
      </c>
      <c r="Z282" s="64">
        <v>-1</v>
      </c>
      <c r="AA282" s="99">
        <v>0</v>
      </c>
      <c r="AL282" s="133"/>
      <c r="BM282" s="147" t="s">
        <v>714</v>
      </c>
      <c r="BN282" s="148"/>
      <c r="BO282" s="130">
        <f>IF(BO279&lt;0%,6.75,3.375)</f>
        <v>3.375</v>
      </c>
      <c r="BP282" s="61"/>
      <c r="BQ282" s="61"/>
      <c r="BR282" s="61"/>
      <c r="BS282" s="61"/>
      <c r="BT282" s="61"/>
      <c r="BU282" s="61"/>
      <c r="BV282" s="80"/>
      <c r="BX282" s="133">
        <v>12</v>
      </c>
      <c r="BY282" s="133">
        <v>25</v>
      </c>
      <c r="BZ282" s="133">
        <v>325</v>
      </c>
      <c r="CA282" s="133">
        <v>80</v>
      </c>
      <c r="CB282" s="133" t="s">
        <v>341</v>
      </c>
      <c r="CC282" s="57" t="s">
        <v>63</v>
      </c>
      <c r="CD282" s="57">
        <v>-11</v>
      </c>
    </row>
    <row r="283" spans="21:82" x14ac:dyDescent="0.25">
      <c r="U283" s="129"/>
      <c r="V283" s="130"/>
      <c r="W283" s="130"/>
      <c r="X283" s="130"/>
      <c r="Y283" s="130">
        <v>22</v>
      </c>
      <c r="Z283" s="64">
        <v>-1</v>
      </c>
      <c r="AA283" s="99">
        <v>0</v>
      </c>
      <c r="AL283" s="133"/>
      <c r="BM283" s="147" t="s">
        <v>772</v>
      </c>
      <c r="BN283" s="148"/>
      <c r="BO283" s="130">
        <f>IF(BO279&gt;0%,((BO281-((BO281-BO282)*ABS(BO279)))),((BO281+((BO282-BO281)*ABS(BO279)))))</f>
        <v>4.3031249999999996</v>
      </c>
      <c r="BP283" s="61"/>
      <c r="BQ283" s="61"/>
      <c r="BR283" s="61"/>
      <c r="BS283" s="61"/>
      <c r="BT283" s="61"/>
      <c r="BU283" s="61"/>
      <c r="BV283" s="80"/>
      <c r="BX283" s="133">
        <v>12.5</v>
      </c>
      <c r="BY283" s="133">
        <v>30</v>
      </c>
      <c r="BZ283" s="133">
        <v>325</v>
      </c>
      <c r="CA283" s="133">
        <v>80</v>
      </c>
      <c r="CB283" s="133" t="s">
        <v>342</v>
      </c>
      <c r="CC283" s="57" t="s">
        <v>63</v>
      </c>
      <c r="CD283" s="57">
        <v>-10</v>
      </c>
    </row>
    <row r="284" spans="21:82" x14ac:dyDescent="0.25">
      <c r="U284" s="129"/>
      <c r="V284" s="130"/>
      <c r="W284" s="130"/>
      <c r="X284" s="130"/>
      <c r="Y284" s="130">
        <v>23</v>
      </c>
      <c r="Z284" s="64">
        <v>-1</v>
      </c>
      <c r="AA284" s="99">
        <v>0</v>
      </c>
      <c r="AL284" s="133"/>
      <c r="BM284" s="147"/>
      <c r="BN284" s="148"/>
      <c r="BO284" s="64"/>
      <c r="BP284" s="61"/>
      <c r="BQ284" s="61"/>
      <c r="BR284" s="61"/>
      <c r="BS284" s="61"/>
      <c r="BT284" s="61"/>
      <c r="BU284" s="61"/>
      <c r="BV284" s="80"/>
      <c r="BX284" s="133">
        <v>13</v>
      </c>
      <c r="BY284" s="133">
        <v>35</v>
      </c>
      <c r="BZ284" s="133">
        <v>325</v>
      </c>
      <c r="CA284" s="133">
        <v>80</v>
      </c>
      <c r="CB284" s="133" t="s">
        <v>343</v>
      </c>
      <c r="CC284" s="57" t="s">
        <v>62</v>
      </c>
      <c r="CD284" s="57">
        <v>-9</v>
      </c>
    </row>
    <row r="285" spans="21:82" ht="15.75" thickBot="1" x14ac:dyDescent="0.3">
      <c r="U285" s="131"/>
      <c r="V285" s="132"/>
      <c r="W285" s="132"/>
      <c r="X285" s="132"/>
      <c r="Y285" s="132">
        <v>24</v>
      </c>
      <c r="Z285" s="105">
        <v>-1</v>
      </c>
      <c r="AA285" s="106">
        <v>0</v>
      </c>
      <c r="AL285" s="133"/>
      <c r="BM285" s="147"/>
      <c r="BN285" s="148"/>
      <c r="BO285" s="64"/>
      <c r="BP285" s="61"/>
      <c r="BQ285" s="61"/>
      <c r="BR285" s="61"/>
      <c r="BS285" s="61"/>
      <c r="BT285" s="61"/>
      <c r="BU285" s="61"/>
      <c r="BV285" s="80"/>
      <c r="BX285" s="133">
        <v>13.5</v>
      </c>
      <c r="BY285" s="133">
        <v>40</v>
      </c>
      <c r="BZ285" s="133">
        <v>325</v>
      </c>
      <c r="CA285" s="133">
        <v>80</v>
      </c>
      <c r="CB285" s="133" t="s">
        <v>344</v>
      </c>
      <c r="CC285" s="57" t="s">
        <v>62</v>
      </c>
      <c r="CD285" s="57">
        <v>-8</v>
      </c>
    </row>
    <row r="286" spans="21:82" x14ac:dyDescent="0.25">
      <c r="AL286" s="133"/>
      <c r="BM286" s="147"/>
      <c r="BN286" s="148"/>
      <c r="BO286" s="64"/>
      <c r="BP286" s="61"/>
      <c r="BQ286" s="61"/>
      <c r="BR286" s="61"/>
      <c r="BS286" s="61"/>
      <c r="BT286" s="61"/>
      <c r="BU286" s="61"/>
      <c r="BV286" s="80"/>
      <c r="BX286" s="133">
        <v>14</v>
      </c>
      <c r="BY286" s="133">
        <v>45</v>
      </c>
      <c r="BZ286" s="133">
        <v>325</v>
      </c>
      <c r="CA286" s="133">
        <v>80</v>
      </c>
      <c r="CB286" s="133" t="s">
        <v>345</v>
      </c>
      <c r="CC286" s="57" t="s">
        <v>62</v>
      </c>
      <c r="CD286" s="57">
        <v>-7</v>
      </c>
    </row>
    <row r="287" spans="21:82" x14ac:dyDescent="0.25">
      <c r="AL287" s="133"/>
      <c r="BM287" s="147" t="s">
        <v>754</v>
      </c>
      <c r="BN287" s="148"/>
      <c r="BO287" s="65">
        <f>BC214</f>
        <v>0</v>
      </c>
      <c r="BP287" s="61"/>
      <c r="BQ287" s="61"/>
      <c r="BR287" s="61"/>
      <c r="BS287" s="61"/>
      <c r="BT287" s="61"/>
      <c r="BU287" s="61"/>
      <c r="BV287" s="80"/>
      <c r="BX287" s="133">
        <v>14.5</v>
      </c>
      <c r="BY287" s="133">
        <v>50</v>
      </c>
      <c r="BZ287" s="133">
        <v>325</v>
      </c>
      <c r="CA287" s="133">
        <v>80</v>
      </c>
      <c r="CB287" s="133" t="s">
        <v>346</v>
      </c>
      <c r="CC287" s="57" t="s">
        <v>61</v>
      </c>
      <c r="CD287" s="57">
        <v>-6</v>
      </c>
    </row>
    <row r="288" spans="21:82" x14ac:dyDescent="0.25">
      <c r="AL288" s="133"/>
      <c r="BM288" s="147" t="s">
        <v>803</v>
      </c>
      <c r="BN288" s="148"/>
      <c r="BO288" s="130" t="str">
        <f>IF(BO279&gt;0%,"STRONG","WEAK")</f>
        <v>STRONG</v>
      </c>
      <c r="BP288" s="61"/>
      <c r="BQ288" s="61"/>
      <c r="BR288" s="61"/>
      <c r="BS288" s="61"/>
      <c r="BT288" s="61"/>
      <c r="BU288" s="61"/>
      <c r="BV288" s="80"/>
      <c r="BX288" s="133">
        <v>15</v>
      </c>
      <c r="BY288" s="133">
        <v>55</v>
      </c>
      <c r="BZ288" s="133">
        <v>325</v>
      </c>
      <c r="CA288" s="133">
        <v>80</v>
      </c>
      <c r="CB288" s="133" t="s">
        <v>347</v>
      </c>
      <c r="CC288" s="57" t="s">
        <v>61</v>
      </c>
      <c r="CD288" s="57">
        <v>-5</v>
      </c>
    </row>
    <row r="289" spans="21:82" x14ac:dyDescent="0.25">
      <c r="AL289" s="133"/>
      <c r="BM289" s="147" t="s">
        <v>753</v>
      </c>
      <c r="BN289" s="148"/>
      <c r="BO289" s="130">
        <f>(3.375)</f>
        <v>3.375</v>
      </c>
      <c r="BP289" s="61"/>
      <c r="BQ289" s="61"/>
      <c r="BR289" s="61"/>
      <c r="BS289" s="61"/>
      <c r="BT289" s="61"/>
      <c r="BU289" s="61"/>
      <c r="BV289" s="80"/>
      <c r="BX289" s="133">
        <v>15.5</v>
      </c>
      <c r="BY289" s="133">
        <v>60</v>
      </c>
      <c r="BZ289" s="133">
        <v>325</v>
      </c>
      <c r="CA289" s="133">
        <v>80</v>
      </c>
      <c r="CB289" s="133" t="s">
        <v>348</v>
      </c>
      <c r="CC289" s="57" t="s">
        <v>61</v>
      </c>
      <c r="CD289" s="57">
        <v>-4</v>
      </c>
    </row>
    <row r="290" spans="21:82" x14ac:dyDescent="0.25">
      <c r="AL290" s="133"/>
      <c r="BM290" s="147" t="s">
        <v>774</v>
      </c>
      <c r="BN290" s="148"/>
      <c r="BO290" s="130">
        <f>IF(BO288="STRONG",1.6875,5.0625)</f>
        <v>1.6875</v>
      </c>
      <c r="BP290" s="61"/>
      <c r="BQ290" s="61"/>
      <c r="BR290" s="61"/>
      <c r="BS290" s="61"/>
      <c r="BT290" s="61"/>
      <c r="BU290" s="61"/>
      <c r="BV290" s="80"/>
      <c r="BX290" s="133">
        <v>16</v>
      </c>
      <c r="BY290" s="133">
        <v>65</v>
      </c>
      <c r="BZ290" s="133">
        <v>325</v>
      </c>
      <c r="CA290" s="133">
        <v>80</v>
      </c>
      <c r="CB290" s="133" t="s">
        <v>349</v>
      </c>
      <c r="CC290" s="57" t="s">
        <v>60</v>
      </c>
      <c r="CD290" s="57">
        <v>-3</v>
      </c>
    </row>
    <row r="291" spans="21:82" x14ac:dyDescent="0.25">
      <c r="AL291" s="133"/>
      <c r="BM291" s="147" t="s">
        <v>770</v>
      </c>
      <c r="BN291" s="148"/>
      <c r="BO291" s="130">
        <f>IF(BO288="STRONG",((BO289-((BO289-BO290)*ABS(BO279)))),((BO289+((BO290-BO289)*ABS(BO279)))))</f>
        <v>2.6156249999999996</v>
      </c>
      <c r="BP291" s="61"/>
      <c r="BQ291" s="61"/>
      <c r="BR291" s="61"/>
      <c r="BS291" s="61"/>
      <c r="BT291" s="61"/>
      <c r="BU291" s="61"/>
      <c r="BV291" s="80"/>
      <c r="BX291" s="133">
        <v>16.5</v>
      </c>
      <c r="BY291" s="133">
        <v>70</v>
      </c>
      <c r="BZ291" s="133">
        <v>325</v>
      </c>
      <c r="CA291" s="133">
        <v>80</v>
      </c>
      <c r="CB291" s="133" t="s">
        <v>350</v>
      </c>
      <c r="CC291" s="57" t="s">
        <v>60</v>
      </c>
      <c r="CD291" s="57">
        <v>-2</v>
      </c>
    </row>
    <row r="292" spans="21:82" x14ac:dyDescent="0.25">
      <c r="AL292" s="133"/>
      <c r="BM292" s="147" t="s">
        <v>754</v>
      </c>
      <c r="BN292" s="148"/>
      <c r="BO292" s="65">
        <f>BC215</f>
        <v>-0.5</v>
      </c>
      <c r="BP292" s="61"/>
      <c r="BQ292" s="61"/>
      <c r="BR292" s="61"/>
      <c r="BS292" s="61"/>
      <c r="BT292" s="61"/>
      <c r="BU292" s="61"/>
      <c r="BV292" s="80"/>
      <c r="BX292" s="133">
        <v>17</v>
      </c>
      <c r="BY292" s="133">
        <v>75</v>
      </c>
      <c r="BZ292" s="133">
        <v>325</v>
      </c>
      <c r="CA292" s="133">
        <v>80</v>
      </c>
      <c r="CB292" s="133" t="s">
        <v>351</v>
      </c>
      <c r="CC292" s="57" t="s">
        <v>60</v>
      </c>
      <c r="CD292" s="57">
        <v>-1</v>
      </c>
    </row>
    <row r="293" spans="21:82" x14ac:dyDescent="0.25">
      <c r="AL293" s="133"/>
      <c r="BM293" s="147" t="s">
        <v>753</v>
      </c>
      <c r="BN293" s="148"/>
      <c r="BO293" s="130">
        <f>0+(3.375*ABS(BO280))</f>
        <v>1.6875</v>
      </c>
      <c r="BP293" s="61"/>
      <c r="BQ293" s="61"/>
      <c r="BR293" s="61"/>
      <c r="BS293" s="61"/>
      <c r="BT293" s="61"/>
      <c r="BU293" s="61"/>
      <c r="BV293" s="80"/>
      <c r="BX293" s="133">
        <v>17.5</v>
      </c>
      <c r="BY293" s="133">
        <v>80</v>
      </c>
      <c r="BZ293" s="133">
        <v>325</v>
      </c>
      <c r="CA293" s="133">
        <v>80</v>
      </c>
      <c r="CB293" s="133" t="s">
        <v>352</v>
      </c>
      <c r="CC293" s="57" t="s">
        <v>54</v>
      </c>
      <c r="CD293" s="57">
        <v>0</v>
      </c>
    </row>
    <row r="294" spans="21:82" x14ac:dyDescent="0.25">
      <c r="AL294" s="133"/>
      <c r="BM294" s="147" t="s">
        <v>714</v>
      </c>
      <c r="BN294" s="148"/>
      <c r="BO294" s="130">
        <f>IF(BO279&gt;0%,0,3.375)</f>
        <v>0</v>
      </c>
      <c r="BP294" s="61"/>
      <c r="BQ294" s="61"/>
      <c r="BR294" s="61"/>
      <c r="BS294" s="61"/>
      <c r="BT294" s="61"/>
      <c r="BU294" s="61"/>
      <c r="BV294" s="80"/>
      <c r="BX294" s="133">
        <v>18</v>
      </c>
      <c r="BY294" s="133">
        <v>85</v>
      </c>
      <c r="BZ294" s="133">
        <v>325</v>
      </c>
      <c r="CA294" s="133">
        <v>80</v>
      </c>
      <c r="CB294" s="133" t="s">
        <v>353</v>
      </c>
      <c r="CC294" s="57" t="s">
        <v>55</v>
      </c>
      <c r="CD294" s="57">
        <v>1</v>
      </c>
    </row>
    <row r="295" spans="21:82" x14ac:dyDescent="0.25">
      <c r="AL295" s="133"/>
      <c r="BM295" s="147" t="s">
        <v>771</v>
      </c>
      <c r="BN295" s="148"/>
      <c r="BO295" s="130">
        <f>IF(BO279&gt;0%,((BO293-((BO293-BO294)*ABS(BO279)))),((BO293+((BO294-BO293)*ABS(BO279)))))</f>
        <v>0.92812499999999987</v>
      </c>
      <c r="BP295" s="61"/>
      <c r="BQ295" s="61"/>
      <c r="BR295" s="61"/>
      <c r="BS295" s="61"/>
      <c r="BT295" s="61"/>
      <c r="BU295" s="61"/>
      <c r="BV295" s="80"/>
      <c r="BX295" s="133">
        <v>18.5</v>
      </c>
      <c r="BY295" s="133">
        <v>90</v>
      </c>
      <c r="BZ295" s="133">
        <v>325</v>
      </c>
      <c r="CA295" s="133">
        <v>80</v>
      </c>
      <c r="CB295" s="133" t="s">
        <v>354</v>
      </c>
      <c r="CC295" s="57" t="s">
        <v>55</v>
      </c>
      <c r="CD295" s="57">
        <v>2</v>
      </c>
    </row>
    <row r="296" spans="21:82" x14ac:dyDescent="0.25">
      <c r="AL296" s="133"/>
      <c r="BM296" s="147" t="s">
        <v>754</v>
      </c>
      <c r="BN296" s="148"/>
      <c r="BO296" s="64">
        <f>VLOOKUP(G15,BB213:BC215,2,FALSE)</f>
        <v>0</v>
      </c>
      <c r="BP296" s="61"/>
      <c r="BQ296" s="61"/>
      <c r="BR296" s="61"/>
      <c r="BS296" s="61"/>
      <c r="BT296" s="61"/>
      <c r="BU296" s="61"/>
      <c r="BV296" s="80"/>
      <c r="BX296" s="133">
        <v>19</v>
      </c>
      <c r="BY296" s="133">
        <v>95</v>
      </c>
      <c r="BZ296" s="133">
        <v>325</v>
      </c>
      <c r="CA296" s="133">
        <v>80</v>
      </c>
      <c r="CB296" s="133" t="s">
        <v>355</v>
      </c>
      <c r="CC296" s="57" t="s">
        <v>55</v>
      </c>
      <c r="CD296" s="57">
        <v>3</v>
      </c>
    </row>
    <row r="297" spans="21:82" x14ac:dyDescent="0.25">
      <c r="AL297" s="133"/>
      <c r="BM297" s="147" t="s">
        <v>741</v>
      </c>
      <c r="BN297" s="148"/>
      <c r="BO297" s="130">
        <f>VLOOKUP(BO296,BM300:BN302,2,FALSE)</f>
        <v>2.6156249999999996</v>
      </c>
      <c r="BP297" s="61"/>
      <c r="BQ297" s="61"/>
      <c r="BR297" s="61"/>
      <c r="BS297" s="61"/>
      <c r="BT297" s="61"/>
      <c r="BU297" s="61"/>
      <c r="BV297" s="80"/>
      <c r="BX297" s="133">
        <v>19.5</v>
      </c>
      <c r="BY297" s="133">
        <v>100</v>
      </c>
      <c r="BZ297" s="133">
        <v>325</v>
      </c>
      <c r="CA297" s="133">
        <v>80</v>
      </c>
      <c r="CB297" s="133" t="s">
        <v>356</v>
      </c>
      <c r="CC297" s="57" t="s">
        <v>56</v>
      </c>
      <c r="CD297" s="57">
        <v>4</v>
      </c>
    </row>
    <row r="298" spans="21:82" x14ac:dyDescent="0.25">
      <c r="AL298" s="133"/>
      <c r="BM298" s="147"/>
      <c r="BN298" s="148"/>
      <c r="BO298" s="61"/>
      <c r="BP298" s="61"/>
      <c r="BQ298" s="61"/>
      <c r="BR298" s="61"/>
      <c r="BS298" s="61"/>
      <c r="BT298" s="61"/>
      <c r="BU298" s="61"/>
      <c r="BV298" s="80"/>
      <c r="BX298" s="133">
        <v>20</v>
      </c>
      <c r="BY298" s="133">
        <v>105</v>
      </c>
      <c r="BZ298" s="133">
        <v>325</v>
      </c>
      <c r="CA298" s="133">
        <v>80</v>
      </c>
      <c r="CB298" s="133" t="s">
        <v>357</v>
      </c>
      <c r="CC298" s="57" t="s">
        <v>56</v>
      </c>
      <c r="CD298" s="57">
        <v>5</v>
      </c>
    </row>
    <row r="299" spans="21:82" x14ac:dyDescent="0.25">
      <c r="AL299" s="133"/>
      <c r="BM299" s="147" t="s">
        <v>773</v>
      </c>
      <c r="BN299" s="148"/>
      <c r="BO299" s="61"/>
      <c r="BP299" s="61"/>
      <c r="BQ299" s="61"/>
      <c r="BR299" s="61"/>
      <c r="BS299" s="61"/>
      <c r="BT299" s="61"/>
      <c r="BU299" s="61"/>
      <c r="BV299" s="80"/>
      <c r="BX299" s="133">
        <v>20.5</v>
      </c>
      <c r="BY299" s="133">
        <v>110</v>
      </c>
      <c r="BZ299" s="133">
        <v>325</v>
      </c>
      <c r="CA299" s="133">
        <v>80</v>
      </c>
      <c r="CB299" s="133" t="s">
        <v>358</v>
      </c>
      <c r="CC299" s="57" t="s">
        <v>56</v>
      </c>
      <c r="CD299" s="57">
        <v>6</v>
      </c>
    </row>
    <row r="300" spans="21:82" x14ac:dyDescent="0.25">
      <c r="AL300" s="133"/>
      <c r="BM300" s="114">
        <v>0.5</v>
      </c>
      <c r="BN300" s="130">
        <f>IF(BO279&gt;0%,((BO281-((BO281-BO282)*ABS(BO279)))),((BO281+((BO282-BO281)*ABS(BO279)))))</f>
        <v>4.3031249999999996</v>
      </c>
      <c r="BO300" s="61"/>
      <c r="BP300" s="61"/>
      <c r="BQ300" s="61"/>
      <c r="BR300" s="61"/>
      <c r="BS300" s="61"/>
      <c r="BT300" s="61"/>
      <c r="BU300" s="61"/>
      <c r="BV300" s="80"/>
      <c r="BX300" s="133">
        <v>21</v>
      </c>
      <c r="BY300" s="133">
        <v>115</v>
      </c>
      <c r="BZ300" s="133">
        <v>325</v>
      </c>
      <c r="CA300" s="133">
        <v>80</v>
      </c>
      <c r="CB300" s="133" t="s">
        <v>359</v>
      </c>
      <c r="CC300" s="57" t="s">
        <v>57</v>
      </c>
      <c r="CD300" s="57">
        <v>7</v>
      </c>
    </row>
    <row r="301" spans="21:82" x14ac:dyDescent="0.25">
      <c r="AL301" s="133"/>
      <c r="BM301" s="114">
        <v>0</v>
      </c>
      <c r="BN301" s="130">
        <f>IF(BO288="STRONG",((BO289-((BO289-BO290)*ABS(BO279)))),((BO289+((BO290-BO289)*ABS(BO279)))))</f>
        <v>2.6156249999999996</v>
      </c>
      <c r="BO301" s="61"/>
      <c r="BP301" s="61"/>
      <c r="BQ301" s="61"/>
      <c r="BR301" s="61"/>
      <c r="BS301" s="61"/>
      <c r="BT301" s="61"/>
      <c r="BU301" s="61"/>
      <c r="BV301" s="80"/>
      <c r="BX301" s="133">
        <v>21.5</v>
      </c>
      <c r="BY301" s="133">
        <v>120</v>
      </c>
      <c r="BZ301" s="133">
        <v>325</v>
      </c>
      <c r="CA301" s="133">
        <v>80</v>
      </c>
      <c r="CB301" s="133" t="s">
        <v>360</v>
      </c>
      <c r="CC301" s="57" t="s">
        <v>57</v>
      </c>
      <c r="CD301" s="57">
        <v>8</v>
      </c>
    </row>
    <row r="302" spans="21:82" x14ac:dyDescent="0.25">
      <c r="AL302" s="133"/>
      <c r="BM302" s="114">
        <v>-0.5</v>
      </c>
      <c r="BN302" s="130">
        <f>IF(BO279&gt;0%,((BO293-((BO293-BO294)*ABS(BO279)))),((BO293+((BO294-BO293)*ABS(BO279)))))</f>
        <v>0.92812499999999987</v>
      </c>
      <c r="BO302" s="61"/>
      <c r="BP302" s="61"/>
      <c r="BQ302" s="61"/>
      <c r="BR302" s="61"/>
      <c r="BS302" s="61"/>
      <c r="BT302" s="61"/>
      <c r="BU302" s="61"/>
      <c r="BV302" s="80"/>
      <c r="BX302" s="133">
        <v>22</v>
      </c>
      <c r="BY302" s="133">
        <v>125</v>
      </c>
      <c r="BZ302" s="133">
        <v>325</v>
      </c>
      <c r="CA302" s="133">
        <v>80</v>
      </c>
      <c r="CB302" s="133" t="s">
        <v>361</v>
      </c>
      <c r="CC302" s="57" t="s">
        <v>57</v>
      </c>
      <c r="CD302" s="57">
        <v>9</v>
      </c>
    </row>
    <row r="303" spans="21:82" ht="15.75" thickBot="1" x14ac:dyDescent="0.3">
      <c r="AL303" s="133"/>
      <c r="BM303" s="103"/>
      <c r="BN303" s="95"/>
      <c r="BO303" s="95"/>
      <c r="BP303" s="95"/>
      <c r="BQ303" s="95"/>
      <c r="BR303" s="95"/>
      <c r="BS303" s="95"/>
      <c r="BT303" s="95"/>
      <c r="BU303" s="95"/>
      <c r="BV303" s="96"/>
      <c r="BX303" s="133">
        <v>22.5</v>
      </c>
      <c r="BY303" s="133">
        <v>130</v>
      </c>
      <c r="BZ303" s="133">
        <v>325</v>
      </c>
      <c r="CA303" s="133">
        <v>80</v>
      </c>
      <c r="CB303" s="133" t="s">
        <v>362</v>
      </c>
      <c r="CC303" s="57" t="s">
        <v>58</v>
      </c>
      <c r="CD303" s="57">
        <v>10</v>
      </c>
    </row>
    <row r="304" spans="21:82" ht="15.75" thickBot="1" x14ac:dyDescent="0.3">
      <c r="U304" s="148" t="s">
        <v>786</v>
      </c>
      <c r="V304" s="148"/>
      <c r="W304" s="148"/>
      <c r="X304" s="148"/>
      <c r="Y304" s="148"/>
      <c r="Z304" s="148"/>
      <c r="AA304" s="130"/>
      <c r="AC304" s="149" t="s">
        <v>817</v>
      </c>
      <c r="AD304" s="149"/>
      <c r="AE304" s="149"/>
      <c r="AF304" s="149"/>
      <c r="AG304" s="149"/>
      <c r="AH304" s="149"/>
      <c r="AI304" s="149"/>
      <c r="AJ304" s="149"/>
      <c r="AL304" s="149" t="s">
        <v>816</v>
      </c>
      <c r="AM304" s="149"/>
      <c r="AN304" s="149"/>
      <c r="AO304" s="149"/>
      <c r="AP304" s="149"/>
      <c r="AQ304" s="149"/>
      <c r="AR304" s="149"/>
      <c r="AS304" s="149"/>
      <c r="AT304" s="149"/>
      <c r="AU304" s="149"/>
      <c r="AV304" s="149"/>
      <c r="AW304" s="149"/>
      <c r="BB304" s="149" t="s">
        <v>814</v>
      </c>
      <c r="BC304" s="149"/>
      <c r="BD304" s="149"/>
      <c r="BE304" s="149"/>
      <c r="BF304" s="149" t="s">
        <v>815</v>
      </c>
      <c r="BG304" s="149"/>
      <c r="BH304" s="149"/>
      <c r="BI304" s="149"/>
      <c r="BJ304" s="149"/>
      <c r="BK304" s="149"/>
      <c r="BX304" s="133">
        <v>23</v>
      </c>
      <c r="BY304" s="133">
        <v>135</v>
      </c>
      <c r="BZ304" s="133">
        <v>325</v>
      </c>
      <c r="CA304" s="133">
        <v>80</v>
      </c>
      <c r="CB304" s="133" t="s">
        <v>363</v>
      </c>
      <c r="CC304" s="57" t="s">
        <v>58</v>
      </c>
      <c r="CD304" s="57">
        <v>11</v>
      </c>
    </row>
    <row r="305" spans="17:82" x14ac:dyDescent="0.25">
      <c r="U305" s="135" t="s">
        <v>1</v>
      </c>
      <c r="V305" s="136" t="s">
        <v>17</v>
      </c>
      <c r="W305" s="136"/>
      <c r="X305" s="136" t="s">
        <v>2</v>
      </c>
      <c r="Y305" s="136" t="s">
        <v>17</v>
      </c>
      <c r="Z305" s="136"/>
      <c r="AA305" s="137"/>
      <c r="AC305" s="135" t="s">
        <v>4</v>
      </c>
      <c r="AD305" s="136" t="s">
        <v>17</v>
      </c>
      <c r="AE305" s="136"/>
      <c r="AF305" s="136" t="s">
        <v>6</v>
      </c>
      <c r="AG305" s="136" t="s">
        <v>17</v>
      </c>
      <c r="AH305" s="136"/>
      <c r="AI305" s="136"/>
      <c r="AJ305" s="137"/>
      <c r="AL305" s="135" t="s">
        <v>9</v>
      </c>
      <c r="AM305" s="136" t="s">
        <v>17</v>
      </c>
      <c r="AN305" s="136"/>
      <c r="AO305" s="136" t="s">
        <v>10</v>
      </c>
      <c r="AP305" s="136" t="s">
        <v>17</v>
      </c>
      <c r="AQ305" s="136"/>
      <c r="AR305" s="136" t="s">
        <v>42</v>
      </c>
      <c r="AS305" s="136" t="s">
        <v>17</v>
      </c>
      <c r="AT305" s="136"/>
      <c r="AU305" s="136"/>
      <c r="AV305" s="136"/>
      <c r="AW305" s="137"/>
      <c r="AY305" s="135" t="s">
        <v>18</v>
      </c>
      <c r="AZ305" s="137" t="s">
        <v>17</v>
      </c>
      <c r="BB305" s="135" t="s">
        <v>779</v>
      </c>
      <c r="BC305" s="136" t="s">
        <v>17</v>
      </c>
      <c r="BD305" s="136" t="s">
        <v>9</v>
      </c>
      <c r="BE305" s="137" t="s">
        <v>17</v>
      </c>
      <c r="BF305" s="136"/>
      <c r="BG305" s="107"/>
      <c r="BH305" s="107"/>
      <c r="BI305" s="107"/>
      <c r="BJ305" s="107"/>
      <c r="BK305" s="108"/>
      <c r="BM305" s="135" t="s">
        <v>25</v>
      </c>
      <c r="BN305" s="136" t="s">
        <v>17</v>
      </c>
      <c r="BO305" s="136"/>
      <c r="BP305" s="136" t="s">
        <v>13</v>
      </c>
      <c r="BQ305" s="136" t="s">
        <v>17</v>
      </c>
      <c r="BR305" s="136"/>
      <c r="BS305" s="136" t="s">
        <v>26</v>
      </c>
      <c r="BT305" s="136" t="s">
        <v>17</v>
      </c>
      <c r="BU305" s="107"/>
      <c r="BV305" s="108"/>
      <c r="BX305" s="133">
        <v>23.5</v>
      </c>
      <c r="BY305" s="133">
        <v>140</v>
      </c>
      <c r="BZ305" s="133">
        <v>325</v>
      </c>
      <c r="CA305" s="133">
        <v>80</v>
      </c>
      <c r="CB305" s="133" t="s">
        <v>364</v>
      </c>
      <c r="CC305" s="57" t="s">
        <v>58</v>
      </c>
      <c r="CD305" s="57">
        <v>12</v>
      </c>
    </row>
    <row r="306" spans="17:82" x14ac:dyDescent="0.25">
      <c r="U306" s="129">
        <v>10</v>
      </c>
      <c r="V306" s="130">
        <v>5</v>
      </c>
      <c r="W306" s="130"/>
      <c r="X306" s="130">
        <v>100</v>
      </c>
      <c r="Y306" s="130">
        <v>35</v>
      </c>
      <c r="Z306" s="130"/>
      <c r="AA306" s="63"/>
      <c r="AC306" s="129">
        <v>0</v>
      </c>
      <c r="AD306" s="64">
        <v>0.9</v>
      </c>
      <c r="AE306" s="130"/>
      <c r="AF306" s="130">
        <v>5</v>
      </c>
      <c r="AG306" s="65">
        <v>1</v>
      </c>
      <c r="AH306" s="65"/>
      <c r="AI306" s="65"/>
      <c r="AJ306" s="66"/>
      <c r="AL306" s="68">
        <v>30</v>
      </c>
      <c r="AM306" s="69">
        <v>1</v>
      </c>
      <c r="AN306" s="70"/>
      <c r="AO306" s="61">
        <v>15</v>
      </c>
      <c r="AP306" s="71">
        <v>1</v>
      </c>
      <c r="AQ306" s="71"/>
      <c r="AR306" s="130" t="s">
        <v>48</v>
      </c>
      <c r="AS306" s="69">
        <v>-0.9</v>
      </c>
      <c r="AT306" s="69"/>
      <c r="AU306" s="69"/>
      <c r="AV306" s="69"/>
      <c r="AW306" s="72"/>
      <c r="AY306" s="73" t="s">
        <v>715</v>
      </c>
      <c r="AZ306" s="72">
        <v>0.1</v>
      </c>
      <c r="BB306" s="129" t="s">
        <v>788</v>
      </c>
      <c r="BC306" s="64">
        <v>0.25</v>
      </c>
      <c r="BD306" s="61" t="s">
        <v>20</v>
      </c>
      <c r="BE306" s="78">
        <v>0.2</v>
      </c>
      <c r="BF306" s="130"/>
      <c r="BG306" s="75"/>
      <c r="BH306" s="75"/>
      <c r="BI306" s="75"/>
      <c r="BJ306" s="75"/>
      <c r="BK306" s="78"/>
      <c r="BM306" s="76">
        <v>2.46</v>
      </c>
      <c r="BN306" s="75">
        <v>1</v>
      </c>
      <c r="BO306" s="75"/>
      <c r="BP306" s="77">
        <v>0</v>
      </c>
      <c r="BQ306" s="75">
        <v>-1</v>
      </c>
      <c r="BR306" s="75"/>
      <c r="BS306" s="77">
        <v>0</v>
      </c>
      <c r="BT306" s="75">
        <v>0.45</v>
      </c>
      <c r="BU306" s="61"/>
      <c r="BV306" s="63"/>
      <c r="BX306" s="133">
        <v>24</v>
      </c>
      <c r="BY306" s="133">
        <v>145</v>
      </c>
      <c r="BZ306" s="133">
        <v>325</v>
      </c>
      <c r="CA306" s="133">
        <v>80</v>
      </c>
      <c r="CB306" s="133" t="s">
        <v>365</v>
      </c>
      <c r="CC306" s="57" t="s">
        <v>59</v>
      </c>
      <c r="CD306" s="57">
        <v>13</v>
      </c>
    </row>
    <row r="307" spans="17:82" x14ac:dyDescent="0.25">
      <c r="U307" s="129">
        <v>10.5</v>
      </c>
      <c r="V307" s="130">
        <v>10</v>
      </c>
      <c r="W307" s="130"/>
      <c r="X307" s="130">
        <v>125</v>
      </c>
      <c r="Y307" s="130">
        <v>40</v>
      </c>
      <c r="Z307" s="130"/>
      <c r="AA307" s="63"/>
      <c r="AC307" s="129">
        <v>3</v>
      </c>
      <c r="AD307" s="64">
        <v>0.75</v>
      </c>
      <c r="AE307" s="130"/>
      <c r="AF307" s="130">
        <v>10</v>
      </c>
      <c r="AG307" s="65">
        <v>1</v>
      </c>
      <c r="AH307" s="65"/>
      <c r="AI307" s="65"/>
      <c r="AJ307" s="66"/>
      <c r="AL307" s="68">
        <v>31</v>
      </c>
      <c r="AM307" s="69">
        <v>1</v>
      </c>
      <c r="AN307" s="70"/>
      <c r="AO307" s="61">
        <v>16</v>
      </c>
      <c r="AP307" s="71">
        <v>1</v>
      </c>
      <c r="AQ307" s="71"/>
      <c r="AR307" s="130" t="s">
        <v>43</v>
      </c>
      <c r="AS307" s="69">
        <v>-0.6</v>
      </c>
      <c r="AT307" s="69"/>
      <c r="AU307" s="69"/>
      <c r="AV307" s="69"/>
      <c r="AW307" s="72"/>
      <c r="AY307" s="73" t="s">
        <v>711</v>
      </c>
      <c r="AZ307" s="72">
        <v>0.3</v>
      </c>
      <c r="BB307" s="129" t="s">
        <v>789</v>
      </c>
      <c r="BC307" s="64">
        <v>0.5</v>
      </c>
      <c r="BD307" s="61" t="s">
        <v>11</v>
      </c>
      <c r="BE307" s="78">
        <v>0.35</v>
      </c>
      <c r="BF307" s="130"/>
      <c r="BG307" s="75"/>
      <c r="BH307" s="75"/>
      <c r="BI307" s="75"/>
      <c r="BJ307" s="75"/>
      <c r="BK307" s="78"/>
      <c r="BM307" s="76">
        <v>2.4700000000000002</v>
      </c>
      <c r="BN307" s="75">
        <v>0.9</v>
      </c>
      <c r="BO307" s="75"/>
      <c r="BP307" s="77">
        <v>1E-3</v>
      </c>
      <c r="BQ307" s="75">
        <v>-1</v>
      </c>
      <c r="BR307" s="75"/>
      <c r="BS307" s="77">
        <v>1E-3</v>
      </c>
      <c r="BT307" s="75">
        <v>0.42</v>
      </c>
      <c r="BU307" s="61"/>
      <c r="BV307" s="78"/>
      <c r="BX307" s="133">
        <v>24.5</v>
      </c>
      <c r="BY307" s="133">
        <v>150</v>
      </c>
      <c r="BZ307" s="133">
        <v>325</v>
      </c>
      <c r="CA307" s="133">
        <v>80</v>
      </c>
      <c r="CB307" s="133" t="s">
        <v>366</v>
      </c>
      <c r="CC307" s="57" t="s">
        <v>59</v>
      </c>
      <c r="CD307" s="57">
        <v>14</v>
      </c>
    </row>
    <row r="308" spans="17:82" x14ac:dyDescent="0.25">
      <c r="U308" s="129">
        <v>11</v>
      </c>
      <c r="V308" s="130">
        <v>15</v>
      </c>
      <c r="W308" s="130"/>
      <c r="X308" s="130">
        <v>150</v>
      </c>
      <c r="Y308" s="130">
        <v>45</v>
      </c>
      <c r="Z308" s="130"/>
      <c r="AA308" s="63"/>
      <c r="AC308" s="129">
        <v>6</v>
      </c>
      <c r="AD308" s="64">
        <v>0.6</v>
      </c>
      <c r="AE308" s="130"/>
      <c r="AF308" s="130">
        <v>15</v>
      </c>
      <c r="AG308" s="65">
        <v>1</v>
      </c>
      <c r="AH308" s="65"/>
      <c r="AI308" s="65"/>
      <c r="AJ308" s="66"/>
      <c r="AL308" s="68">
        <v>32</v>
      </c>
      <c r="AM308" s="69">
        <v>1</v>
      </c>
      <c r="AN308" s="70"/>
      <c r="AO308" s="61">
        <v>17</v>
      </c>
      <c r="AP308" s="71">
        <v>1</v>
      </c>
      <c r="AQ308" s="71"/>
      <c r="AR308" s="130" t="s">
        <v>46</v>
      </c>
      <c r="AS308" s="69">
        <v>-0.3</v>
      </c>
      <c r="AT308" s="69"/>
      <c r="AU308" s="69"/>
      <c r="AV308" s="69"/>
      <c r="AW308" s="72"/>
      <c r="AY308" s="73" t="s">
        <v>19</v>
      </c>
      <c r="AZ308" s="72">
        <v>0.5</v>
      </c>
      <c r="BB308" s="129" t="s">
        <v>740</v>
      </c>
      <c r="BC308" s="64">
        <v>0.75</v>
      </c>
      <c r="BD308" s="61" t="s">
        <v>19</v>
      </c>
      <c r="BE308" s="78">
        <v>0.5</v>
      </c>
      <c r="BF308" s="130"/>
      <c r="BG308" s="75"/>
      <c r="BH308" s="75"/>
      <c r="BI308" s="75"/>
      <c r="BJ308" s="75"/>
      <c r="BK308" s="78"/>
      <c r="BM308" s="76">
        <v>2.48</v>
      </c>
      <c r="BN308" s="75">
        <v>0.75</v>
      </c>
      <c r="BO308" s="75"/>
      <c r="BP308" s="77">
        <v>2E-3</v>
      </c>
      <c r="BQ308" s="75">
        <v>-1</v>
      </c>
      <c r="BR308" s="75"/>
      <c r="BS308" s="77">
        <v>2E-3</v>
      </c>
      <c r="BT308" s="75">
        <v>0.39</v>
      </c>
      <c r="BU308" s="61"/>
      <c r="BV308" s="78"/>
      <c r="BX308" s="133">
        <v>25</v>
      </c>
      <c r="BY308" s="133">
        <v>155</v>
      </c>
      <c r="BZ308" s="133">
        <v>325</v>
      </c>
      <c r="CA308" s="133">
        <v>80</v>
      </c>
      <c r="CB308" s="133" t="s">
        <v>367</v>
      </c>
      <c r="CC308" s="57" t="s">
        <v>59</v>
      </c>
      <c r="CD308" s="57">
        <v>15</v>
      </c>
    </row>
    <row r="309" spans="17:82" x14ac:dyDescent="0.25">
      <c r="U309" s="129">
        <v>11.5</v>
      </c>
      <c r="V309" s="130">
        <v>20</v>
      </c>
      <c r="W309" s="130"/>
      <c r="X309" s="130">
        <v>175</v>
      </c>
      <c r="Y309" s="130">
        <v>50</v>
      </c>
      <c r="Z309" s="130"/>
      <c r="AA309" s="63"/>
      <c r="AC309" s="129">
        <v>9</v>
      </c>
      <c r="AD309" s="64">
        <v>0.45</v>
      </c>
      <c r="AE309" s="130"/>
      <c r="AF309" s="130">
        <v>20</v>
      </c>
      <c r="AG309" s="65">
        <v>1</v>
      </c>
      <c r="AH309" s="65"/>
      <c r="AI309" s="65"/>
      <c r="AJ309" s="66"/>
      <c r="AL309" s="68">
        <v>33</v>
      </c>
      <c r="AM309" s="69">
        <v>1</v>
      </c>
      <c r="AN309" s="70"/>
      <c r="AO309" s="61">
        <v>18</v>
      </c>
      <c r="AP309" s="71">
        <v>0.9</v>
      </c>
      <c r="AQ309" s="71"/>
      <c r="AR309" s="130" t="s">
        <v>44</v>
      </c>
      <c r="AS309" s="69">
        <v>0</v>
      </c>
      <c r="AT309" s="69"/>
      <c r="AU309" s="69"/>
      <c r="AV309" s="69"/>
      <c r="AW309" s="72"/>
      <c r="AY309" s="73" t="s">
        <v>5</v>
      </c>
      <c r="AZ309" s="72">
        <v>0.7</v>
      </c>
      <c r="BB309" s="129"/>
      <c r="BC309" s="64"/>
      <c r="BD309" s="61" t="s">
        <v>21</v>
      </c>
      <c r="BE309" s="78">
        <v>0.65</v>
      </c>
      <c r="BF309" s="61"/>
      <c r="BG309" s="61"/>
      <c r="BH309" s="61"/>
      <c r="BI309" s="61"/>
      <c r="BJ309" s="61"/>
      <c r="BK309" s="80"/>
      <c r="BM309" s="76">
        <v>2.4900000000000002</v>
      </c>
      <c r="BN309" s="75">
        <v>0.6</v>
      </c>
      <c r="BO309" s="75"/>
      <c r="BP309" s="77">
        <v>3.0000000000000001E-3</v>
      </c>
      <c r="BQ309" s="75">
        <v>-1</v>
      </c>
      <c r="BR309" s="75"/>
      <c r="BS309" s="77">
        <v>3.0000000000000001E-3</v>
      </c>
      <c r="BT309" s="75">
        <v>0.36</v>
      </c>
      <c r="BU309" s="61"/>
      <c r="BV309" s="81"/>
      <c r="BX309" s="133">
        <v>10</v>
      </c>
      <c r="BY309" s="133">
        <v>5</v>
      </c>
      <c r="BZ309" s="133">
        <v>350</v>
      </c>
      <c r="CA309" s="133">
        <v>85</v>
      </c>
      <c r="CB309" s="133" t="s">
        <v>368</v>
      </c>
      <c r="CC309" s="57" t="s">
        <v>64</v>
      </c>
      <c r="CD309" s="57">
        <v>-16</v>
      </c>
    </row>
    <row r="310" spans="17:82" ht="15.75" thickBot="1" x14ac:dyDescent="0.3">
      <c r="Q310" s="148" t="s">
        <v>787</v>
      </c>
      <c r="R310" s="148"/>
      <c r="S310" s="148"/>
      <c r="U310" s="129">
        <v>12</v>
      </c>
      <c r="V310" s="130">
        <v>25</v>
      </c>
      <c r="W310" s="130"/>
      <c r="X310" s="130">
        <v>200</v>
      </c>
      <c r="Y310" s="130">
        <v>55</v>
      </c>
      <c r="Z310" s="130"/>
      <c r="AA310" s="63"/>
      <c r="AC310" s="129">
        <v>12</v>
      </c>
      <c r="AD310" s="64">
        <v>0.3</v>
      </c>
      <c r="AE310" s="130"/>
      <c r="AF310" s="130">
        <v>25</v>
      </c>
      <c r="AG310" s="65">
        <v>1</v>
      </c>
      <c r="AH310" s="65"/>
      <c r="AI310" s="65"/>
      <c r="AJ310" s="66"/>
      <c r="AL310" s="68">
        <v>34</v>
      </c>
      <c r="AM310" s="70">
        <v>0.9</v>
      </c>
      <c r="AN310" s="70"/>
      <c r="AO310" s="61">
        <v>19</v>
      </c>
      <c r="AP310" s="71">
        <v>0.75</v>
      </c>
      <c r="AQ310" s="71"/>
      <c r="AR310" s="130" t="s">
        <v>49</v>
      </c>
      <c r="AS310" s="69">
        <v>0.3</v>
      </c>
      <c r="AT310" s="69"/>
      <c r="AU310" s="69"/>
      <c r="AV310" s="69"/>
      <c r="AW310" s="72"/>
      <c r="AY310" s="83" t="s">
        <v>716</v>
      </c>
      <c r="AZ310" s="84">
        <v>0.9</v>
      </c>
      <c r="BB310" s="103"/>
      <c r="BC310" s="121"/>
      <c r="BD310" s="95" t="s">
        <v>22</v>
      </c>
      <c r="BE310" s="122">
        <v>0.8</v>
      </c>
      <c r="BF310" s="61"/>
      <c r="BG310" s="61"/>
      <c r="BH310" s="61"/>
      <c r="BI310" s="61"/>
      <c r="BJ310" s="61"/>
      <c r="BK310" s="80"/>
      <c r="BM310" s="76">
        <v>2.5</v>
      </c>
      <c r="BN310" s="75">
        <v>0.45</v>
      </c>
      <c r="BO310" s="75"/>
      <c r="BP310" s="77">
        <v>4.0000000000000001E-3</v>
      </c>
      <c r="BQ310" s="75">
        <v>-1</v>
      </c>
      <c r="BR310" s="75"/>
      <c r="BS310" s="77">
        <v>4.0000000000000001E-3</v>
      </c>
      <c r="BT310" s="75">
        <v>0.33</v>
      </c>
      <c r="BU310" s="61"/>
      <c r="BV310" s="81"/>
      <c r="BX310" s="133">
        <v>10.5</v>
      </c>
      <c r="BY310" s="133">
        <v>10</v>
      </c>
      <c r="BZ310" s="133">
        <v>350</v>
      </c>
      <c r="CA310" s="133">
        <v>85</v>
      </c>
      <c r="CB310" s="133" t="s">
        <v>369</v>
      </c>
      <c r="CC310" s="57" t="s">
        <v>64</v>
      </c>
      <c r="CD310" s="57">
        <v>-15</v>
      </c>
    </row>
    <row r="311" spans="17:82" x14ac:dyDescent="0.25">
      <c r="Q311" s="151" t="s">
        <v>730</v>
      </c>
      <c r="R311" s="152"/>
      <c r="S311" s="60">
        <f>(W351)</f>
        <v>2.5</v>
      </c>
      <c r="U311" s="129">
        <v>12.5</v>
      </c>
      <c r="V311" s="130">
        <v>30</v>
      </c>
      <c r="W311" s="130"/>
      <c r="X311" s="130">
        <v>225</v>
      </c>
      <c r="Y311" s="130">
        <v>60</v>
      </c>
      <c r="Z311" s="130"/>
      <c r="AA311" s="63"/>
      <c r="AC311" s="129">
        <v>15</v>
      </c>
      <c r="AD311" s="64">
        <v>0.15</v>
      </c>
      <c r="AE311" s="130"/>
      <c r="AF311" s="130">
        <v>30</v>
      </c>
      <c r="AG311" s="65">
        <v>0.75</v>
      </c>
      <c r="AH311" s="65"/>
      <c r="AI311" s="65"/>
      <c r="AJ311" s="66"/>
      <c r="AL311" s="68">
        <v>35</v>
      </c>
      <c r="AM311" s="69">
        <v>0.75</v>
      </c>
      <c r="AN311" s="69"/>
      <c r="AO311" s="61">
        <v>20</v>
      </c>
      <c r="AP311" s="71">
        <v>0.6</v>
      </c>
      <c r="AQ311" s="71"/>
      <c r="AR311" s="130" t="s">
        <v>45</v>
      </c>
      <c r="AS311" s="69">
        <v>0.6</v>
      </c>
      <c r="AT311" s="69"/>
      <c r="AU311" s="69"/>
      <c r="AV311" s="69"/>
      <c r="AW311" s="72"/>
      <c r="BB311" s="68"/>
      <c r="BC311" s="61"/>
      <c r="BD311" s="61"/>
      <c r="BE311" s="61"/>
      <c r="BF311" s="61"/>
      <c r="BG311" s="61"/>
      <c r="BH311" s="61"/>
      <c r="BI311" s="61"/>
      <c r="BJ311" s="61"/>
      <c r="BK311" s="80"/>
      <c r="BM311" s="76">
        <v>2.5099999999999998</v>
      </c>
      <c r="BN311" s="75">
        <v>0.3</v>
      </c>
      <c r="BO311" s="75"/>
      <c r="BP311" s="77">
        <v>5.0000000000000001E-3</v>
      </c>
      <c r="BQ311" s="75">
        <v>-1</v>
      </c>
      <c r="BR311" s="75"/>
      <c r="BS311" s="77">
        <v>5.0000000000000001E-3</v>
      </c>
      <c r="BT311" s="75">
        <v>0.3</v>
      </c>
      <c r="BU311" s="61"/>
      <c r="BV311" s="81"/>
      <c r="BX311" s="133">
        <v>11</v>
      </c>
      <c r="BY311" s="133">
        <v>15</v>
      </c>
      <c r="BZ311" s="133">
        <v>350</v>
      </c>
      <c r="CA311" s="133">
        <v>85</v>
      </c>
      <c r="CB311" s="133" t="s">
        <v>370</v>
      </c>
      <c r="CC311" s="57" t="s">
        <v>64</v>
      </c>
      <c r="CD311" s="57">
        <v>-14</v>
      </c>
    </row>
    <row r="312" spans="17:82" x14ac:dyDescent="0.25">
      <c r="Q312" s="147" t="s">
        <v>731</v>
      </c>
      <c r="R312" s="148"/>
      <c r="S312" s="62">
        <f>(AE337)</f>
        <v>2.65</v>
      </c>
      <c r="U312" s="129">
        <v>13</v>
      </c>
      <c r="V312" s="130">
        <v>35</v>
      </c>
      <c r="W312" s="130"/>
      <c r="X312" s="130">
        <v>250</v>
      </c>
      <c r="Y312" s="130">
        <v>65</v>
      </c>
      <c r="Z312" s="130"/>
      <c r="AA312" s="63"/>
      <c r="AC312" s="129">
        <v>18</v>
      </c>
      <c r="AD312" s="64">
        <v>0</v>
      </c>
      <c r="AE312" s="130"/>
      <c r="AF312" s="130">
        <v>35</v>
      </c>
      <c r="AG312" s="65">
        <v>0.5</v>
      </c>
      <c r="AH312" s="65"/>
      <c r="AI312" s="65"/>
      <c r="AJ312" s="66"/>
      <c r="AL312" s="68">
        <v>36</v>
      </c>
      <c r="AM312" s="70">
        <v>0.6</v>
      </c>
      <c r="AN312" s="70"/>
      <c r="AO312" s="61">
        <v>21</v>
      </c>
      <c r="AP312" s="71">
        <v>0.45</v>
      </c>
      <c r="AQ312" s="71"/>
      <c r="AR312" s="130" t="s">
        <v>50</v>
      </c>
      <c r="AS312" s="69">
        <v>0.9</v>
      </c>
      <c r="AT312" s="69"/>
      <c r="AU312" s="69"/>
      <c r="AV312" s="69"/>
      <c r="AW312" s="72"/>
      <c r="BB312" s="68"/>
      <c r="BC312" s="61"/>
      <c r="BD312" s="61"/>
      <c r="BE312" s="61"/>
      <c r="BF312" s="61"/>
      <c r="BG312" s="61"/>
      <c r="BH312" s="61"/>
      <c r="BI312" s="61"/>
      <c r="BJ312" s="61"/>
      <c r="BK312" s="80"/>
      <c r="BM312" s="76">
        <v>2.52</v>
      </c>
      <c r="BN312" s="75">
        <v>0.15</v>
      </c>
      <c r="BO312" s="75"/>
      <c r="BP312" s="77">
        <v>6.0000000000000001E-3</v>
      </c>
      <c r="BQ312" s="75">
        <v>-1</v>
      </c>
      <c r="BR312" s="75"/>
      <c r="BS312" s="77">
        <v>6.0000000000000001E-3</v>
      </c>
      <c r="BT312" s="75">
        <v>0.27</v>
      </c>
      <c r="BU312" s="61"/>
      <c r="BV312" s="81"/>
      <c r="BX312" s="133">
        <v>11.5</v>
      </c>
      <c r="BY312" s="133">
        <v>20</v>
      </c>
      <c r="BZ312" s="133">
        <v>350</v>
      </c>
      <c r="CA312" s="133">
        <v>85</v>
      </c>
      <c r="CB312" s="133" t="s">
        <v>371</v>
      </c>
      <c r="CC312" s="57" t="s">
        <v>64</v>
      </c>
      <c r="CD312" s="57">
        <v>-13</v>
      </c>
    </row>
    <row r="313" spans="17:82" x14ac:dyDescent="0.25">
      <c r="Q313" s="147" t="s">
        <v>732</v>
      </c>
      <c r="R313" s="148"/>
      <c r="S313" s="62">
        <f>(AP346)</f>
        <v>2.40625</v>
      </c>
      <c r="U313" s="129">
        <v>13.5</v>
      </c>
      <c r="V313" s="130">
        <v>40</v>
      </c>
      <c r="W313" s="130"/>
      <c r="X313" s="130">
        <v>275</v>
      </c>
      <c r="Y313" s="130">
        <v>70</v>
      </c>
      <c r="Z313" s="130"/>
      <c r="AA313" s="63"/>
      <c r="AC313" s="129">
        <v>21</v>
      </c>
      <c r="AD313" s="64">
        <v>-0.15</v>
      </c>
      <c r="AE313" s="130"/>
      <c r="AF313" s="130">
        <v>40</v>
      </c>
      <c r="AG313" s="65">
        <v>0.25</v>
      </c>
      <c r="AH313" s="65"/>
      <c r="AI313" s="65"/>
      <c r="AJ313" s="66"/>
      <c r="AL313" s="68">
        <v>37</v>
      </c>
      <c r="AM313" s="69">
        <v>0.45</v>
      </c>
      <c r="AN313" s="69"/>
      <c r="AO313" s="61">
        <v>22</v>
      </c>
      <c r="AP313" s="71">
        <v>0.3</v>
      </c>
      <c r="AQ313" s="71"/>
      <c r="AR313" s="61"/>
      <c r="AS313" s="61"/>
      <c r="AT313" s="61"/>
      <c r="AU313" s="61"/>
      <c r="AV313" s="61"/>
      <c r="AW313" s="80"/>
      <c r="BB313" s="147" t="s">
        <v>727</v>
      </c>
      <c r="BC313" s="148"/>
      <c r="BD313" s="148"/>
      <c r="BE313" s="61"/>
      <c r="BF313" s="61"/>
      <c r="BG313" s="61"/>
      <c r="BH313" s="61"/>
      <c r="BI313" s="61"/>
      <c r="BJ313" s="61"/>
      <c r="BK313" s="80"/>
      <c r="BM313" s="76">
        <v>2.5299999999999998</v>
      </c>
      <c r="BN313" s="75">
        <v>0</v>
      </c>
      <c r="BO313" s="75"/>
      <c r="BP313" s="77">
        <v>7.0000000000000001E-3</v>
      </c>
      <c r="BQ313" s="75">
        <v>-1</v>
      </c>
      <c r="BR313" s="75"/>
      <c r="BS313" s="77">
        <v>7.0000000000000001E-3</v>
      </c>
      <c r="BT313" s="75">
        <v>0.24</v>
      </c>
      <c r="BU313" s="130"/>
      <c r="BV313" s="81"/>
      <c r="BX313" s="133">
        <v>12</v>
      </c>
      <c r="BY313" s="133">
        <v>25</v>
      </c>
      <c r="BZ313" s="133">
        <v>350</v>
      </c>
      <c r="CA313" s="133">
        <v>85</v>
      </c>
      <c r="CB313" s="133" t="s">
        <v>372</v>
      </c>
      <c r="CC313" s="57" t="s">
        <v>63</v>
      </c>
      <c r="CD313" s="57">
        <v>-12</v>
      </c>
    </row>
    <row r="314" spans="17:82" x14ac:dyDescent="0.25">
      <c r="Q314" s="147" t="s">
        <v>41</v>
      </c>
      <c r="R314" s="148"/>
      <c r="S314" s="62">
        <f>(BD325)</f>
        <v>2.5</v>
      </c>
      <c r="U314" s="129">
        <v>14</v>
      </c>
      <c r="V314" s="130">
        <v>45</v>
      </c>
      <c r="W314" s="130"/>
      <c r="X314" s="130">
        <v>300</v>
      </c>
      <c r="Y314" s="130">
        <v>75</v>
      </c>
      <c r="Z314" s="130"/>
      <c r="AA314" s="63"/>
      <c r="AC314" s="129">
        <v>24</v>
      </c>
      <c r="AD314" s="64">
        <v>-0.3</v>
      </c>
      <c r="AE314" s="130"/>
      <c r="AF314" s="130">
        <v>45</v>
      </c>
      <c r="AG314" s="65">
        <v>0</v>
      </c>
      <c r="AH314" s="65"/>
      <c r="AI314" s="65"/>
      <c r="AJ314" s="66"/>
      <c r="AL314" s="68">
        <v>38</v>
      </c>
      <c r="AM314" s="70">
        <v>0.3</v>
      </c>
      <c r="AN314" s="70"/>
      <c r="AO314" s="61">
        <v>23</v>
      </c>
      <c r="AP314" s="71">
        <v>0.15</v>
      </c>
      <c r="AQ314" s="71"/>
      <c r="AR314" s="61"/>
      <c r="AS314" s="61"/>
      <c r="AT314" s="61"/>
      <c r="AU314" s="61"/>
      <c r="AV314" s="61"/>
      <c r="AW314" s="80"/>
      <c r="BB314" s="147" t="s">
        <v>780</v>
      </c>
      <c r="BC314" s="148"/>
      <c r="BD314" s="64">
        <f>VLOOKUP(G15,BF315:BG317,2,FALSE)</f>
        <v>0</v>
      </c>
      <c r="BE314" s="61"/>
      <c r="BF314" s="130" t="s">
        <v>779</v>
      </c>
      <c r="BG314" s="130" t="s">
        <v>17</v>
      </c>
      <c r="BH314" s="130" t="s">
        <v>9</v>
      </c>
      <c r="BI314" s="130" t="s">
        <v>17</v>
      </c>
      <c r="BJ314" s="61"/>
      <c r="BK314" s="80"/>
      <c r="BM314" s="76">
        <v>2.54</v>
      </c>
      <c r="BN314" s="75">
        <v>-0.15</v>
      </c>
      <c r="BO314" s="75"/>
      <c r="BP314" s="77">
        <v>8.0000000000000002E-3</v>
      </c>
      <c r="BQ314" s="75">
        <v>-1</v>
      </c>
      <c r="BR314" s="75"/>
      <c r="BS314" s="77">
        <v>8.0000000000000002E-3</v>
      </c>
      <c r="BT314" s="75">
        <v>0.21</v>
      </c>
      <c r="BU314" s="75"/>
      <c r="BV314" s="81"/>
      <c r="BX314" s="133">
        <v>12.5</v>
      </c>
      <c r="BY314" s="133">
        <v>30</v>
      </c>
      <c r="BZ314" s="133">
        <v>350</v>
      </c>
      <c r="CA314" s="133">
        <v>85</v>
      </c>
      <c r="CB314" s="133" t="s">
        <v>373</v>
      </c>
      <c r="CC314" s="57" t="s">
        <v>63</v>
      </c>
      <c r="CD314" s="57">
        <v>-11</v>
      </c>
    </row>
    <row r="315" spans="17:82" x14ac:dyDescent="0.25">
      <c r="Q315" s="147" t="s">
        <v>733</v>
      </c>
      <c r="R315" s="148"/>
      <c r="S315" s="62">
        <f>BO355</f>
        <v>3.7</v>
      </c>
      <c r="U315" s="129">
        <v>14.5</v>
      </c>
      <c r="V315" s="130">
        <v>50</v>
      </c>
      <c r="W315" s="130"/>
      <c r="X315" s="130">
        <v>325</v>
      </c>
      <c r="Y315" s="130">
        <v>80</v>
      </c>
      <c r="Z315" s="130"/>
      <c r="AA315" s="63"/>
      <c r="AC315" s="129">
        <v>27</v>
      </c>
      <c r="AD315" s="64">
        <v>-0.45</v>
      </c>
      <c r="AE315" s="130"/>
      <c r="AF315" s="130">
        <v>50</v>
      </c>
      <c r="AG315" s="65">
        <v>-0.15</v>
      </c>
      <c r="AH315" s="65"/>
      <c r="AI315" s="65"/>
      <c r="AJ315" s="66"/>
      <c r="AL315" s="68">
        <v>39</v>
      </c>
      <c r="AM315" s="69">
        <v>0.15</v>
      </c>
      <c r="AN315" s="69"/>
      <c r="AO315" s="61">
        <v>24</v>
      </c>
      <c r="AP315" s="71">
        <v>0</v>
      </c>
      <c r="AQ315" s="71"/>
      <c r="AR315" s="61"/>
      <c r="AS315" s="61"/>
      <c r="AT315" s="61"/>
      <c r="AU315" s="61"/>
      <c r="AV315" s="61"/>
      <c r="AW315" s="80"/>
      <c r="BB315" s="147" t="s">
        <v>781</v>
      </c>
      <c r="BC315" s="148"/>
      <c r="BD315" s="64">
        <f>VLOOKUP(G16,BH315:BI319,2,FALSE)</f>
        <v>0</v>
      </c>
      <c r="BE315" s="61"/>
      <c r="BF315" s="130" t="s">
        <v>788</v>
      </c>
      <c r="BG315" s="64">
        <v>-0.5</v>
      </c>
      <c r="BH315" s="61" t="s">
        <v>20</v>
      </c>
      <c r="BI315" s="75">
        <v>-0.75</v>
      </c>
      <c r="BJ315" s="61"/>
      <c r="BK315" s="80"/>
      <c r="BM315" s="76">
        <v>2.5499999999999998</v>
      </c>
      <c r="BN315" s="75">
        <v>-0.3</v>
      </c>
      <c r="BO315" s="75"/>
      <c r="BP315" s="77">
        <v>8.9999999999999993E-3</v>
      </c>
      <c r="BQ315" s="75">
        <v>-1</v>
      </c>
      <c r="BR315" s="75"/>
      <c r="BS315" s="77">
        <v>8.9999999999999993E-3</v>
      </c>
      <c r="BT315" s="75">
        <v>0.18</v>
      </c>
      <c r="BU315" s="75"/>
      <c r="BV315" s="81"/>
      <c r="BX315" s="133">
        <v>13</v>
      </c>
      <c r="BY315" s="133">
        <v>35</v>
      </c>
      <c r="BZ315" s="133">
        <v>350</v>
      </c>
      <c r="CA315" s="133">
        <v>85</v>
      </c>
      <c r="CB315" s="133" t="s">
        <v>374</v>
      </c>
      <c r="CC315" s="57" t="s">
        <v>63</v>
      </c>
      <c r="CD315" s="57">
        <v>-10</v>
      </c>
    </row>
    <row r="316" spans="17:82" x14ac:dyDescent="0.25">
      <c r="Q316" s="147" t="s">
        <v>741</v>
      </c>
      <c r="R316" s="148"/>
      <c r="S316" s="62">
        <f>((S311*0.3)+(S312*0.2)+(S313*0.15)+(S314*0.25)+(S315*0.1))</f>
        <v>2.6359374999999998</v>
      </c>
      <c r="U316" s="129">
        <v>15</v>
      </c>
      <c r="V316" s="130">
        <v>55</v>
      </c>
      <c r="W316" s="130"/>
      <c r="X316" s="130">
        <v>350</v>
      </c>
      <c r="Y316" s="130">
        <v>85</v>
      </c>
      <c r="Z316" s="130"/>
      <c r="AA316" s="63"/>
      <c r="AC316" s="129">
        <v>30</v>
      </c>
      <c r="AD316" s="64">
        <v>-0.6</v>
      </c>
      <c r="AE316" s="130"/>
      <c r="AF316" s="130">
        <v>55</v>
      </c>
      <c r="AG316" s="65">
        <v>-0.3</v>
      </c>
      <c r="AH316" s="65"/>
      <c r="AI316" s="65"/>
      <c r="AJ316" s="66"/>
      <c r="AL316" s="68">
        <v>40</v>
      </c>
      <c r="AM316" s="70">
        <v>0</v>
      </c>
      <c r="AN316" s="70"/>
      <c r="AO316" s="61">
        <v>25</v>
      </c>
      <c r="AP316" s="71">
        <v>-0.15</v>
      </c>
      <c r="AQ316" s="71"/>
      <c r="AR316" s="61"/>
      <c r="AS316" s="61"/>
      <c r="AT316" s="61"/>
      <c r="AU316" s="61"/>
      <c r="AV316" s="61"/>
      <c r="AW316" s="80"/>
      <c r="BB316" s="147" t="s">
        <v>790</v>
      </c>
      <c r="BC316" s="148"/>
      <c r="BD316" s="64">
        <f>((BD314*0.5)+(BD315*0.5))</f>
        <v>0</v>
      </c>
      <c r="BE316" s="61"/>
      <c r="BF316" s="130" t="s">
        <v>789</v>
      </c>
      <c r="BG316" s="64">
        <v>0</v>
      </c>
      <c r="BH316" s="61" t="s">
        <v>11</v>
      </c>
      <c r="BI316" s="75">
        <v>-0.25</v>
      </c>
      <c r="BJ316" s="61"/>
      <c r="BK316" s="80"/>
      <c r="BM316" s="76">
        <v>2.56</v>
      </c>
      <c r="BN316" s="75">
        <v>-0.45</v>
      </c>
      <c r="BO316" s="75"/>
      <c r="BP316" s="77">
        <v>0.01</v>
      </c>
      <c r="BQ316" s="75">
        <v>-1</v>
      </c>
      <c r="BR316" s="75"/>
      <c r="BS316" s="77">
        <v>0.01</v>
      </c>
      <c r="BT316" s="75">
        <v>0.15</v>
      </c>
      <c r="BU316" s="77"/>
      <c r="BV316" s="81"/>
      <c r="BX316" s="133">
        <v>13.5</v>
      </c>
      <c r="BY316" s="133">
        <v>40</v>
      </c>
      <c r="BZ316" s="133">
        <v>350</v>
      </c>
      <c r="CA316" s="133">
        <v>85</v>
      </c>
      <c r="CB316" s="133" t="s">
        <v>375</v>
      </c>
      <c r="CC316" s="57" t="s">
        <v>62</v>
      </c>
      <c r="CD316" s="57">
        <v>-9</v>
      </c>
    </row>
    <row r="317" spans="17:82" x14ac:dyDescent="0.25">
      <c r="Q317" s="147" t="s">
        <v>742</v>
      </c>
      <c r="R317" s="148"/>
      <c r="S317" s="62">
        <f>IF(S320&gt;S38,S38,S320)</f>
        <v>2.625</v>
      </c>
      <c r="U317" s="129">
        <v>15.5</v>
      </c>
      <c r="V317" s="130">
        <v>60</v>
      </c>
      <c r="W317" s="130"/>
      <c r="X317" s="130">
        <v>375</v>
      </c>
      <c r="Y317" s="130">
        <v>90</v>
      </c>
      <c r="Z317" s="130"/>
      <c r="AA317" s="63"/>
      <c r="AC317" s="129">
        <v>33</v>
      </c>
      <c r="AD317" s="64">
        <v>-0.75</v>
      </c>
      <c r="AE317" s="130"/>
      <c r="AF317" s="130">
        <v>60</v>
      </c>
      <c r="AG317" s="65">
        <v>-0.45</v>
      </c>
      <c r="AH317" s="65"/>
      <c r="AI317" s="65"/>
      <c r="AJ317" s="66"/>
      <c r="AL317" s="68">
        <v>41</v>
      </c>
      <c r="AM317" s="69">
        <v>-0.15</v>
      </c>
      <c r="AN317" s="69"/>
      <c r="AO317" s="61">
        <v>26</v>
      </c>
      <c r="AP317" s="71">
        <v>-0.3</v>
      </c>
      <c r="AQ317" s="71"/>
      <c r="AR317" s="61"/>
      <c r="AS317" s="61"/>
      <c r="AT317" s="61"/>
      <c r="AU317" s="61"/>
      <c r="AV317" s="61"/>
      <c r="AW317" s="80"/>
      <c r="BB317" s="147" t="s">
        <v>806</v>
      </c>
      <c r="BC317" s="148"/>
      <c r="BD317" s="64">
        <f>(VLOOKUP($G$15,$BB$306:$BC$308,2,FALSE)*0.5)+(VLOOKUP($G$16,$BD$306:$BE$310,2,FALSE)*0.5)</f>
        <v>0.5</v>
      </c>
      <c r="BE317" s="61"/>
      <c r="BF317" s="130" t="s">
        <v>740</v>
      </c>
      <c r="BG317" s="64">
        <v>0.5</v>
      </c>
      <c r="BH317" s="61" t="s">
        <v>19</v>
      </c>
      <c r="BI317" s="75">
        <v>0</v>
      </c>
      <c r="BJ317" s="61"/>
      <c r="BK317" s="80"/>
      <c r="BM317" s="76">
        <v>2.57</v>
      </c>
      <c r="BN317" s="75">
        <v>-0.6</v>
      </c>
      <c r="BO317" s="75"/>
      <c r="BP317" s="77">
        <v>1.0999999999999999E-2</v>
      </c>
      <c r="BQ317" s="75">
        <v>-1</v>
      </c>
      <c r="BR317" s="75"/>
      <c r="BS317" s="77">
        <v>1.0999999999999999E-2</v>
      </c>
      <c r="BT317" s="75">
        <v>0.12</v>
      </c>
      <c r="BU317" s="77"/>
      <c r="BV317" s="81"/>
      <c r="BX317" s="133">
        <v>14</v>
      </c>
      <c r="BY317" s="133">
        <v>45</v>
      </c>
      <c r="BZ317" s="133">
        <v>350</v>
      </c>
      <c r="CA317" s="133">
        <v>85</v>
      </c>
      <c r="CB317" s="133" t="s">
        <v>376</v>
      </c>
      <c r="CC317" s="57" t="s">
        <v>62</v>
      </c>
      <c r="CD317" s="57">
        <v>-8</v>
      </c>
    </row>
    <row r="318" spans="17:82" x14ac:dyDescent="0.25">
      <c r="Q318" s="147" t="s">
        <v>736</v>
      </c>
      <c r="R318" s="148"/>
      <c r="S318" s="62">
        <f>S316-MOD(S316,1)</f>
        <v>2</v>
      </c>
      <c r="U318" s="129">
        <v>16</v>
      </c>
      <c r="V318" s="130">
        <v>65</v>
      </c>
      <c r="W318" s="130"/>
      <c r="X318" s="130">
        <v>400</v>
      </c>
      <c r="Y318" s="130">
        <v>95</v>
      </c>
      <c r="Z318" s="130"/>
      <c r="AA318" s="63"/>
      <c r="AC318" s="129">
        <v>36</v>
      </c>
      <c r="AD318" s="64">
        <v>-0.9</v>
      </c>
      <c r="AE318" s="130"/>
      <c r="AF318" s="130">
        <v>65</v>
      </c>
      <c r="AG318" s="65">
        <v>-0.6</v>
      </c>
      <c r="AH318" s="65"/>
      <c r="AI318" s="65"/>
      <c r="AJ318" s="66"/>
      <c r="AL318" s="68">
        <v>42</v>
      </c>
      <c r="AM318" s="70">
        <v>-0.3</v>
      </c>
      <c r="AN318" s="70"/>
      <c r="AO318" s="61">
        <v>27</v>
      </c>
      <c r="AP318" s="71">
        <v>-0.45</v>
      </c>
      <c r="AQ318" s="71"/>
      <c r="AR318" s="130" t="s">
        <v>709</v>
      </c>
      <c r="AS318" s="130"/>
      <c r="AT318" s="130"/>
      <c r="AU318" s="130"/>
      <c r="AV318" s="130"/>
      <c r="AW318" s="63"/>
      <c r="BB318" s="147" t="s">
        <v>812</v>
      </c>
      <c r="BC318" s="148"/>
      <c r="BD318" s="111">
        <f>0+($S$38*BD317)</f>
        <v>2.5</v>
      </c>
      <c r="BE318" s="61"/>
      <c r="BF318" s="130"/>
      <c r="BG318" s="64"/>
      <c r="BH318" s="61" t="s">
        <v>21</v>
      </c>
      <c r="BI318" s="75">
        <v>0.25</v>
      </c>
      <c r="BJ318" s="61"/>
      <c r="BK318" s="80"/>
      <c r="BM318" s="76">
        <v>2.58</v>
      </c>
      <c r="BN318" s="75">
        <v>-0.75</v>
      </c>
      <c r="BO318" s="75"/>
      <c r="BP318" s="77">
        <v>1.2E-2</v>
      </c>
      <c r="BQ318" s="75">
        <v>-1</v>
      </c>
      <c r="BR318" s="75"/>
      <c r="BS318" s="77">
        <v>1.2E-2</v>
      </c>
      <c r="BT318" s="75">
        <v>0.09</v>
      </c>
      <c r="BU318" s="77"/>
      <c r="BV318" s="81"/>
      <c r="BX318" s="133">
        <v>14.5</v>
      </c>
      <c r="BY318" s="133">
        <v>50</v>
      </c>
      <c r="BZ318" s="133">
        <v>350</v>
      </c>
      <c r="CA318" s="133">
        <v>85</v>
      </c>
      <c r="CB318" s="133" t="s">
        <v>377</v>
      </c>
      <c r="CC318" s="57" t="s">
        <v>62</v>
      </c>
      <c r="CD318" s="57">
        <v>-7</v>
      </c>
    </row>
    <row r="319" spans="17:82" x14ac:dyDescent="0.25">
      <c r="Q319" s="147" t="s">
        <v>748</v>
      </c>
      <c r="R319" s="148"/>
      <c r="S319" s="62">
        <f>VLOOKUP(Q338,Q329:R337,2,FALSE)</f>
        <v>0.625</v>
      </c>
      <c r="U319" s="129">
        <v>16.5</v>
      </c>
      <c r="V319" s="130">
        <v>70</v>
      </c>
      <c r="W319" s="130"/>
      <c r="X319" s="130">
        <v>425</v>
      </c>
      <c r="Y319" s="130">
        <v>100</v>
      </c>
      <c r="Z319" s="130"/>
      <c r="AA319" s="63"/>
      <c r="AC319" s="129">
        <v>39</v>
      </c>
      <c r="AD319" s="64">
        <v>-1</v>
      </c>
      <c r="AE319" s="130"/>
      <c r="AF319" s="130">
        <v>70</v>
      </c>
      <c r="AG319" s="65">
        <v>-0.75</v>
      </c>
      <c r="AH319" s="65"/>
      <c r="AI319" s="65"/>
      <c r="AJ319" s="66"/>
      <c r="AL319" s="68">
        <v>43</v>
      </c>
      <c r="AM319" s="69">
        <v>-0.45</v>
      </c>
      <c r="AN319" s="69"/>
      <c r="AO319" s="61">
        <v>28</v>
      </c>
      <c r="AP319" s="71">
        <v>-0.6</v>
      </c>
      <c r="AQ319" s="71"/>
      <c r="AR319" s="61" t="s">
        <v>724</v>
      </c>
      <c r="AS319" s="91">
        <v>-0.9</v>
      </c>
      <c r="AT319" s="91"/>
      <c r="AU319" s="91"/>
      <c r="AV319" s="91"/>
      <c r="AW319" s="92"/>
      <c r="BB319" s="147" t="s">
        <v>810</v>
      </c>
      <c r="BC319" s="148"/>
      <c r="BD319" s="117">
        <f>IF(BD316&lt;0%,(BD318-($S$38-BD318)),$S$38)</f>
        <v>5</v>
      </c>
      <c r="BE319" s="61"/>
      <c r="BF319" s="61"/>
      <c r="BG319" s="75"/>
      <c r="BH319" s="61" t="s">
        <v>22</v>
      </c>
      <c r="BI319" s="75">
        <v>0.75</v>
      </c>
      <c r="BJ319" s="61"/>
      <c r="BK319" s="80"/>
      <c r="BM319" s="76">
        <v>2.59</v>
      </c>
      <c r="BN319" s="75">
        <v>-0.9</v>
      </c>
      <c r="BO319" s="75"/>
      <c r="BP319" s="77">
        <v>1.2999999999999999E-2</v>
      </c>
      <c r="BQ319" s="75">
        <v>-1</v>
      </c>
      <c r="BR319" s="75"/>
      <c r="BS319" s="77">
        <v>1.2999999999999999E-2</v>
      </c>
      <c r="BT319" s="75">
        <v>0.06</v>
      </c>
      <c r="BU319" s="77"/>
      <c r="BV319" s="81"/>
      <c r="BX319" s="133">
        <v>15</v>
      </c>
      <c r="BY319" s="133">
        <v>55</v>
      </c>
      <c r="BZ319" s="133">
        <v>350</v>
      </c>
      <c r="CA319" s="133">
        <v>85</v>
      </c>
      <c r="CB319" s="133" t="s">
        <v>378</v>
      </c>
      <c r="CC319" s="57" t="s">
        <v>61</v>
      </c>
      <c r="CD319" s="57">
        <v>-6</v>
      </c>
    </row>
    <row r="320" spans="17:82" x14ac:dyDescent="0.25">
      <c r="Q320" s="147" t="s">
        <v>744</v>
      </c>
      <c r="R320" s="148"/>
      <c r="S320" s="87">
        <f>(S318+S319)</f>
        <v>2.625</v>
      </c>
      <c r="U320" s="129">
        <v>17</v>
      </c>
      <c r="V320" s="130">
        <v>75</v>
      </c>
      <c r="W320" s="130"/>
      <c r="X320" s="130">
        <v>450</v>
      </c>
      <c r="Y320" s="130">
        <v>105</v>
      </c>
      <c r="Z320" s="130"/>
      <c r="AA320" s="63"/>
      <c r="AC320" s="129">
        <v>42</v>
      </c>
      <c r="AD320" s="64">
        <v>-1</v>
      </c>
      <c r="AE320" s="130"/>
      <c r="AF320" s="130">
        <v>75</v>
      </c>
      <c r="AG320" s="65">
        <v>-0.9</v>
      </c>
      <c r="AH320" s="65"/>
      <c r="AI320" s="65"/>
      <c r="AJ320" s="66"/>
      <c r="AL320" s="68">
        <v>44</v>
      </c>
      <c r="AM320" s="70">
        <v>-0.6</v>
      </c>
      <c r="AN320" s="70"/>
      <c r="AO320" s="61">
        <v>29</v>
      </c>
      <c r="AP320" s="71">
        <v>-0.75</v>
      </c>
      <c r="AQ320" s="71"/>
      <c r="AR320" s="61"/>
      <c r="AS320" s="91">
        <v>-0.8</v>
      </c>
      <c r="AT320" s="91"/>
      <c r="AU320" s="91"/>
      <c r="AV320" s="91"/>
      <c r="AW320" s="92"/>
      <c r="BB320" s="147" t="s">
        <v>808</v>
      </c>
      <c r="BC320" s="148"/>
      <c r="BD320" s="117">
        <f>IF(BD316&lt;0%,((BD318-((BD318-BD319)*ABS(BD316)))),((BD318+((BD319-BD318)*ABS(BD316)))))</f>
        <v>2.5</v>
      </c>
      <c r="BE320" s="61"/>
      <c r="BF320" s="61"/>
      <c r="BG320" s="61"/>
      <c r="BH320" s="61"/>
      <c r="BI320" s="61"/>
      <c r="BJ320" s="61"/>
      <c r="BK320" s="80"/>
      <c r="BM320" s="76">
        <v>2.6</v>
      </c>
      <c r="BN320" s="75">
        <v>-1</v>
      </c>
      <c r="BO320" s="75"/>
      <c r="BP320" s="77">
        <v>1.4E-2</v>
      </c>
      <c r="BQ320" s="75">
        <v>-1</v>
      </c>
      <c r="BR320" s="75"/>
      <c r="BS320" s="77">
        <v>1.4E-2</v>
      </c>
      <c r="BT320" s="75">
        <v>0.03</v>
      </c>
      <c r="BU320" s="77"/>
      <c r="BV320" s="81"/>
      <c r="BX320" s="133">
        <v>15.5</v>
      </c>
      <c r="BY320" s="133">
        <v>60</v>
      </c>
      <c r="BZ320" s="133">
        <v>350</v>
      </c>
      <c r="CA320" s="133">
        <v>85</v>
      </c>
      <c r="CB320" s="133" t="s">
        <v>379</v>
      </c>
      <c r="CC320" s="57" t="s">
        <v>61</v>
      </c>
      <c r="CD320" s="57">
        <v>-5</v>
      </c>
    </row>
    <row r="321" spans="17:82" x14ac:dyDescent="0.25">
      <c r="Q321" s="147" t="s">
        <v>736</v>
      </c>
      <c r="R321" s="148"/>
      <c r="S321" s="62">
        <f>S317-MOD(S317,1)</f>
        <v>2</v>
      </c>
      <c r="U321" s="129">
        <v>17.5</v>
      </c>
      <c r="V321" s="130">
        <v>80</v>
      </c>
      <c r="W321" s="130"/>
      <c r="X321" s="130">
        <v>475</v>
      </c>
      <c r="Y321" s="130">
        <v>110</v>
      </c>
      <c r="Z321" s="130"/>
      <c r="AA321" s="63"/>
      <c r="AC321" s="129">
        <v>45</v>
      </c>
      <c r="AD321" s="64">
        <v>-1</v>
      </c>
      <c r="AE321" s="130"/>
      <c r="AF321" s="130">
        <v>80</v>
      </c>
      <c r="AG321" s="65">
        <v>-1</v>
      </c>
      <c r="AH321" s="65"/>
      <c r="AI321" s="65"/>
      <c r="AJ321" s="66"/>
      <c r="AL321" s="68">
        <v>45</v>
      </c>
      <c r="AM321" s="69">
        <v>-0.75</v>
      </c>
      <c r="AN321" s="69"/>
      <c r="AO321" s="61">
        <v>30</v>
      </c>
      <c r="AP321" s="71">
        <v>-0.9</v>
      </c>
      <c r="AQ321" s="71"/>
      <c r="AR321" s="61"/>
      <c r="AS321" s="91">
        <v>-0.7</v>
      </c>
      <c r="AT321" s="91"/>
      <c r="AU321" s="91"/>
      <c r="AV321" s="91"/>
      <c r="AW321" s="92"/>
      <c r="BB321" s="147" t="s">
        <v>811</v>
      </c>
      <c r="BC321" s="148"/>
      <c r="BD321" s="117">
        <f>0+($S$38*BD317)</f>
        <v>2.5</v>
      </c>
      <c r="BE321" s="61"/>
      <c r="BF321" s="61"/>
      <c r="BG321" s="61"/>
      <c r="BH321" s="61"/>
      <c r="BI321" s="61"/>
      <c r="BJ321" s="61"/>
      <c r="BK321" s="80"/>
      <c r="BM321" s="76">
        <v>2.61</v>
      </c>
      <c r="BN321" s="75">
        <v>-1</v>
      </c>
      <c r="BO321" s="75"/>
      <c r="BP321" s="77">
        <v>1.4999999999999999E-2</v>
      </c>
      <c r="BQ321" s="75">
        <v>-1</v>
      </c>
      <c r="BR321" s="75"/>
      <c r="BS321" s="77">
        <v>1.4999999999999999E-2</v>
      </c>
      <c r="BT321" s="75">
        <v>0</v>
      </c>
      <c r="BU321" s="77"/>
      <c r="BV321" s="81"/>
      <c r="BX321" s="133">
        <v>16</v>
      </c>
      <c r="BY321" s="133">
        <v>65</v>
      </c>
      <c r="BZ321" s="133">
        <v>350</v>
      </c>
      <c r="CA321" s="133">
        <v>85</v>
      </c>
      <c r="CB321" s="133" t="s">
        <v>380</v>
      </c>
      <c r="CC321" s="57" t="s">
        <v>61</v>
      </c>
      <c r="CD321" s="57">
        <v>-4</v>
      </c>
    </row>
    <row r="322" spans="17:82" x14ac:dyDescent="0.25">
      <c r="Q322" s="147" t="s">
        <v>747</v>
      </c>
      <c r="R322" s="148"/>
      <c r="S322" s="63">
        <f>VLOOKUP(Q350,Q341:R349,2,FALSE)</f>
        <v>0.625</v>
      </c>
      <c r="U322" s="129">
        <v>18</v>
      </c>
      <c r="V322" s="130">
        <v>85</v>
      </c>
      <c r="W322" s="130"/>
      <c r="X322" s="130">
        <v>500</v>
      </c>
      <c r="Y322" s="130">
        <v>115</v>
      </c>
      <c r="Z322" s="130"/>
      <c r="AA322" s="63"/>
      <c r="AC322" s="129">
        <v>48</v>
      </c>
      <c r="AD322" s="64">
        <v>-1</v>
      </c>
      <c r="AE322" s="130"/>
      <c r="AF322" s="130">
        <v>85</v>
      </c>
      <c r="AG322" s="65">
        <v>-1</v>
      </c>
      <c r="AH322" s="65"/>
      <c r="AI322" s="65"/>
      <c r="AJ322" s="66"/>
      <c r="AL322" s="68">
        <v>46</v>
      </c>
      <c r="AM322" s="70">
        <v>-0.9</v>
      </c>
      <c r="AN322" s="69"/>
      <c r="AO322" s="61">
        <v>31</v>
      </c>
      <c r="AP322" s="71">
        <v>-1</v>
      </c>
      <c r="AQ322" s="71"/>
      <c r="AR322" s="61"/>
      <c r="AS322" s="91">
        <v>-0.6</v>
      </c>
      <c r="AT322" s="91"/>
      <c r="AU322" s="91"/>
      <c r="AV322" s="91"/>
      <c r="AW322" s="92"/>
      <c r="BB322" s="147" t="s">
        <v>809</v>
      </c>
      <c r="BC322" s="148"/>
      <c r="BD322" s="117">
        <f>IF(BD316&lt;0%,(BD318-((BD318-0))),((BD318*2)))</f>
        <v>5</v>
      </c>
      <c r="BE322" s="61"/>
      <c r="BF322" s="61"/>
      <c r="BG322" s="61"/>
      <c r="BH322" s="61"/>
      <c r="BI322" s="61"/>
      <c r="BJ322" s="61"/>
      <c r="BK322" s="80"/>
      <c r="BM322" s="76">
        <v>2.62</v>
      </c>
      <c r="BN322" s="75">
        <v>-1</v>
      </c>
      <c r="BO322" s="75"/>
      <c r="BP322" s="77">
        <v>1.6E-2</v>
      </c>
      <c r="BQ322" s="75">
        <v>-1</v>
      </c>
      <c r="BR322" s="75"/>
      <c r="BS322" s="77">
        <v>1.6E-2</v>
      </c>
      <c r="BT322" s="75">
        <v>-0.03</v>
      </c>
      <c r="BU322" s="77"/>
      <c r="BV322" s="81"/>
      <c r="BX322" s="133">
        <v>16.5</v>
      </c>
      <c r="BY322" s="133">
        <v>70</v>
      </c>
      <c r="BZ322" s="133">
        <v>350</v>
      </c>
      <c r="CA322" s="133">
        <v>85</v>
      </c>
      <c r="CB322" s="133" t="s">
        <v>381</v>
      </c>
      <c r="CC322" s="57" t="s">
        <v>60</v>
      </c>
      <c r="CD322" s="57">
        <v>-3</v>
      </c>
    </row>
    <row r="323" spans="17:82" x14ac:dyDescent="0.25">
      <c r="Q323" s="147" t="s">
        <v>743</v>
      </c>
      <c r="R323" s="148"/>
      <c r="S323" s="87">
        <f>(S317)</f>
        <v>2.625</v>
      </c>
      <c r="U323" s="129">
        <v>18.5</v>
      </c>
      <c r="V323" s="130">
        <v>90</v>
      </c>
      <c r="W323" s="130"/>
      <c r="X323" s="130">
        <v>525</v>
      </c>
      <c r="Y323" s="130">
        <v>120</v>
      </c>
      <c r="Z323" s="130"/>
      <c r="AA323" s="63"/>
      <c r="AC323" s="129">
        <v>51</v>
      </c>
      <c r="AD323" s="64">
        <v>-1</v>
      </c>
      <c r="AE323" s="130"/>
      <c r="AF323" s="130">
        <v>90</v>
      </c>
      <c r="AG323" s="65">
        <v>-1</v>
      </c>
      <c r="AH323" s="65"/>
      <c r="AI323" s="65"/>
      <c r="AJ323" s="66"/>
      <c r="AL323" s="68">
        <v>47</v>
      </c>
      <c r="AM323" s="69">
        <v>-1</v>
      </c>
      <c r="AN323" s="69"/>
      <c r="AO323" s="61">
        <v>32</v>
      </c>
      <c r="AP323" s="71">
        <v>-1</v>
      </c>
      <c r="AQ323" s="71"/>
      <c r="AR323" s="61" t="s">
        <v>722</v>
      </c>
      <c r="AS323" s="91">
        <v>-0.5</v>
      </c>
      <c r="AT323" s="91"/>
      <c r="AU323" s="91"/>
      <c r="AV323" s="91"/>
      <c r="AW323" s="92"/>
      <c r="BB323" s="147" t="s">
        <v>813</v>
      </c>
      <c r="BC323" s="148"/>
      <c r="BD323" s="117">
        <f>IF(BD316&lt;0%,((BD321-((BD321-BD322)*ABS(BD316)))),((BD321+((BD322-BD321)*ABS(BD316)))))</f>
        <v>2.5</v>
      </c>
      <c r="BE323" s="61"/>
      <c r="BF323" s="61"/>
      <c r="BG323" s="61"/>
      <c r="BH323" s="61"/>
      <c r="BI323" s="61"/>
      <c r="BJ323" s="61"/>
      <c r="BK323" s="80"/>
      <c r="BM323" s="76">
        <v>2.63</v>
      </c>
      <c r="BN323" s="75">
        <v>-1</v>
      </c>
      <c r="BO323" s="75"/>
      <c r="BP323" s="77">
        <v>1.7000000000000001E-2</v>
      </c>
      <c r="BQ323" s="75">
        <v>-1</v>
      </c>
      <c r="BR323" s="75"/>
      <c r="BS323" s="77">
        <v>1.7000000000000001E-2</v>
      </c>
      <c r="BT323" s="75">
        <v>-0.06</v>
      </c>
      <c r="BU323" s="77"/>
      <c r="BV323" s="81"/>
      <c r="BX323" s="133">
        <v>17</v>
      </c>
      <c r="BY323" s="133">
        <v>75</v>
      </c>
      <c r="BZ323" s="133">
        <v>350</v>
      </c>
      <c r="CA323" s="133">
        <v>85</v>
      </c>
      <c r="CB323" s="133" t="s">
        <v>382</v>
      </c>
      <c r="CC323" s="57" t="s">
        <v>60</v>
      </c>
      <c r="CD323" s="57">
        <v>-2</v>
      </c>
    </row>
    <row r="324" spans="17:82" x14ac:dyDescent="0.25">
      <c r="Q324" s="147" t="s">
        <v>742</v>
      </c>
      <c r="R324" s="148"/>
      <c r="S324" s="63">
        <f>IF(S316&gt;S38,1,0)</f>
        <v>0</v>
      </c>
      <c r="U324" s="129">
        <v>19</v>
      </c>
      <c r="V324" s="130">
        <v>95</v>
      </c>
      <c r="W324" s="130"/>
      <c r="X324" s="130">
        <v>550</v>
      </c>
      <c r="Y324" s="130">
        <v>125</v>
      </c>
      <c r="Z324" s="130"/>
      <c r="AA324" s="63"/>
      <c r="AC324" s="129"/>
      <c r="AD324" s="130"/>
      <c r="AE324" s="130"/>
      <c r="AF324" s="130"/>
      <c r="AG324" s="130"/>
      <c r="AH324" s="130"/>
      <c r="AI324" s="130"/>
      <c r="AJ324" s="63"/>
      <c r="AL324" s="68">
        <v>48</v>
      </c>
      <c r="AM324" s="69">
        <v>-1</v>
      </c>
      <c r="AN324" s="70"/>
      <c r="AO324" s="61">
        <v>33</v>
      </c>
      <c r="AP324" s="71">
        <v>-1</v>
      </c>
      <c r="AQ324" s="71"/>
      <c r="AR324" s="61"/>
      <c r="AS324" s="91">
        <v>-0.4</v>
      </c>
      <c r="AT324" s="91"/>
      <c r="AU324" s="91"/>
      <c r="AV324" s="91"/>
      <c r="AW324" s="92"/>
      <c r="BB324" s="147" t="s">
        <v>714</v>
      </c>
      <c r="BC324" s="148"/>
      <c r="BD324" s="111" t="str">
        <f>IF($S$38-BD318&gt;(ABS(0-BD318)),"LOW","HIGH")</f>
        <v>HIGH</v>
      </c>
      <c r="BE324" s="61"/>
      <c r="BF324" s="61"/>
      <c r="BG324" s="61"/>
      <c r="BH324" s="61"/>
      <c r="BI324" s="61"/>
      <c r="BJ324" s="61"/>
      <c r="BK324" s="80"/>
      <c r="BM324" s="76">
        <v>2.64</v>
      </c>
      <c r="BN324" s="75">
        <v>-1</v>
      </c>
      <c r="BO324" s="75"/>
      <c r="BP324" s="77">
        <v>1.7999999999999999E-2</v>
      </c>
      <c r="BQ324" s="75">
        <v>-1</v>
      </c>
      <c r="BR324" s="75"/>
      <c r="BS324" s="77">
        <v>1.7999999999999999E-2</v>
      </c>
      <c r="BT324" s="75">
        <v>-0.09</v>
      </c>
      <c r="BU324" s="77"/>
      <c r="BV324" s="81"/>
      <c r="BX324" s="133">
        <v>17.5</v>
      </c>
      <c r="BY324" s="133">
        <v>80</v>
      </c>
      <c r="BZ324" s="133">
        <v>350</v>
      </c>
      <c r="CA324" s="133">
        <v>85</v>
      </c>
      <c r="CB324" s="133" t="s">
        <v>383</v>
      </c>
      <c r="CC324" s="57" t="s">
        <v>60</v>
      </c>
      <c r="CD324" s="57">
        <v>-1</v>
      </c>
    </row>
    <row r="325" spans="17:82" x14ac:dyDescent="0.25">
      <c r="Q325" s="147" t="s">
        <v>752</v>
      </c>
      <c r="R325" s="148"/>
      <c r="S325" s="87">
        <f>IF(S324=1,S323,S320)</f>
        <v>2.625</v>
      </c>
      <c r="U325" s="129">
        <v>19.5</v>
      </c>
      <c r="V325" s="130">
        <v>100</v>
      </c>
      <c r="W325" s="130"/>
      <c r="X325" s="130">
        <v>575</v>
      </c>
      <c r="Y325" s="130">
        <v>130</v>
      </c>
      <c r="Z325" s="130"/>
      <c r="AA325" s="63"/>
      <c r="AC325" s="147" t="s">
        <v>34</v>
      </c>
      <c r="AD325" s="148"/>
      <c r="AE325" s="130"/>
      <c r="AF325" s="130" t="s">
        <v>709</v>
      </c>
      <c r="AG325" s="130"/>
      <c r="AH325" s="130"/>
      <c r="AI325" s="130"/>
      <c r="AJ325" s="63"/>
      <c r="AL325" s="68">
        <v>49</v>
      </c>
      <c r="AM325" s="69">
        <v>-1</v>
      </c>
      <c r="AN325" s="69"/>
      <c r="AO325" s="61">
        <v>34</v>
      </c>
      <c r="AP325" s="71">
        <v>-1</v>
      </c>
      <c r="AQ325" s="71"/>
      <c r="AR325" s="61"/>
      <c r="AS325" s="91">
        <v>-0.3</v>
      </c>
      <c r="AT325" s="91"/>
      <c r="AU325" s="91"/>
      <c r="AV325" s="91"/>
      <c r="AW325" s="92"/>
      <c r="BB325" s="147" t="s">
        <v>807</v>
      </c>
      <c r="BC325" s="148"/>
      <c r="BD325" s="117">
        <f>IF(BD324="HIGH",BD320,BD323)</f>
        <v>2.5</v>
      </c>
      <c r="BE325" s="61"/>
      <c r="BF325" s="61"/>
      <c r="BG325" s="61"/>
      <c r="BH325" s="61"/>
      <c r="BI325" s="61"/>
      <c r="BJ325" s="61"/>
      <c r="BK325" s="80"/>
      <c r="BM325" s="76">
        <v>2.65</v>
      </c>
      <c r="BN325" s="75">
        <v>-1</v>
      </c>
      <c r="BO325" s="75"/>
      <c r="BP325" s="77">
        <v>1.9E-2</v>
      </c>
      <c r="BQ325" s="75">
        <v>-1</v>
      </c>
      <c r="BR325" s="75"/>
      <c r="BS325" s="77">
        <v>1.9E-2</v>
      </c>
      <c r="BT325" s="75">
        <v>-0.12</v>
      </c>
      <c r="BU325" s="77"/>
      <c r="BV325" s="81"/>
      <c r="BX325" s="133">
        <v>18</v>
      </c>
      <c r="BY325" s="133">
        <v>85</v>
      </c>
      <c r="BZ325" s="133">
        <v>350</v>
      </c>
      <c r="CA325" s="133">
        <v>85</v>
      </c>
      <c r="CB325" s="133" t="s">
        <v>384</v>
      </c>
      <c r="CC325" s="57" t="s">
        <v>54</v>
      </c>
      <c r="CD325" s="57">
        <v>0</v>
      </c>
    </row>
    <row r="326" spans="17:82" x14ac:dyDescent="0.25">
      <c r="Q326" s="147" t="s">
        <v>983</v>
      </c>
      <c r="R326" s="148"/>
      <c r="S326" s="87">
        <f>IF(E15="","#N/A",IF(G20="","#N/A",IF(G21="","#N/A",S325)))</f>
        <v>2.625</v>
      </c>
      <c r="U326" s="129">
        <v>20</v>
      </c>
      <c r="V326" s="130">
        <v>105</v>
      </c>
      <c r="W326" s="130"/>
      <c r="X326" s="130">
        <v>600</v>
      </c>
      <c r="Y326" s="130">
        <v>135</v>
      </c>
      <c r="Z326" s="130"/>
      <c r="AA326" s="63"/>
      <c r="AC326" s="147" t="s">
        <v>36</v>
      </c>
      <c r="AD326" s="148"/>
      <c r="AE326" s="64">
        <f>VLOOKUP(E15,AC306:AD323,2,FALSE)</f>
        <v>0.15</v>
      </c>
      <c r="AF326" s="61" t="s">
        <v>33</v>
      </c>
      <c r="AG326" s="91">
        <v>-0.9</v>
      </c>
      <c r="AH326" s="91"/>
      <c r="AI326" s="91"/>
      <c r="AJ326" s="92"/>
      <c r="AL326" s="68">
        <v>50</v>
      </c>
      <c r="AM326" s="69">
        <v>-1</v>
      </c>
      <c r="AN326" s="70"/>
      <c r="AO326" s="61">
        <v>35</v>
      </c>
      <c r="AP326" s="71">
        <v>-1</v>
      </c>
      <c r="AQ326" s="71"/>
      <c r="AR326" s="61"/>
      <c r="AS326" s="91">
        <v>-0.2</v>
      </c>
      <c r="AT326" s="91"/>
      <c r="AU326" s="91"/>
      <c r="AV326" s="91"/>
      <c r="AW326" s="92"/>
      <c r="BB326" s="147"/>
      <c r="BC326" s="148"/>
      <c r="BD326" s="117"/>
      <c r="BE326" s="61"/>
      <c r="BF326" s="61"/>
      <c r="BG326" s="61"/>
      <c r="BH326" s="61"/>
      <c r="BI326" s="61"/>
      <c r="BJ326" s="61"/>
      <c r="BK326" s="80"/>
      <c r="BM326" s="76">
        <v>2.66</v>
      </c>
      <c r="BN326" s="75">
        <v>-1</v>
      </c>
      <c r="BO326" s="75"/>
      <c r="BP326" s="77">
        <v>0.02</v>
      </c>
      <c r="BQ326" s="75">
        <v>-1</v>
      </c>
      <c r="BR326" s="75"/>
      <c r="BS326" s="77">
        <v>0.02</v>
      </c>
      <c r="BT326" s="75">
        <v>-0.15</v>
      </c>
      <c r="BU326" s="77"/>
      <c r="BV326" s="81"/>
      <c r="BX326" s="133">
        <v>18.5</v>
      </c>
      <c r="BY326" s="133">
        <v>90</v>
      </c>
      <c r="BZ326" s="133">
        <v>350</v>
      </c>
      <c r="CA326" s="133">
        <v>85</v>
      </c>
      <c r="CB326" s="133" t="s">
        <v>385</v>
      </c>
      <c r="CC326" s="57" t="s">
        <v>55</v>
      </c>
      <c r="CD326" s="57">
        <v>1</v>
      </c>
    </row>
    <row r="327" spans="17:82" ht="15.75" thickBot="1" x14ac:dyDescent="0.3">
      <c r="Q327" s="184" t="s">
        <v>988</v>
      </c>
      <c r="R327" s="149"/>
      <c r="S327" s="89">
        <f>IF(G20/2&lt;G21,"#N/A",S326)</f>
        <v>2.625</v>
      </c>
      <c r="U327" s="129">
        <v>20.5</v>
      </c>
      <c r="V327" s="130">
        <v>110</v>
      </c>
      <c r="W327" s="130"/>
      <c r="X327" s="130"/>
      <c r="Y327" s="130"/>
      <c r="Z327" s="130"/>
      <c r="AA327" s="63"/>
      <c r="AC327" s="147" t="s">
        <v>35</v>
      </c>
      <c r="AD327" s="148"/>
      <c r="AE327" s="64">
        <f>VLOOKUP(E16,AF306:AG323,2,FALSE)</f>
        <v>-0.3</v>
      </c>
      <c r="AF327" s="61"/>
      <c r="AG327" s="91">
        <v>-0.8</v>
      </c>
      <c r="AH327" s="91"/>
      <c r="AI327" s="91"/>
      <c r="AJ327" s="92"/>
      <c r="AL327" s="68">
        <v>51</v>
      </c>
      <c r="AM327" s="69">
        <v>-1</v>
      </c>
      <c r="AN327" s="69"/>
      <c r="AO327" s="61"/>
      <c r="AP327" s="61"/>
      <c r="AQ327" s="61"/>
      <c r="AR327" s="61"/>
      <c r="AS327" s="91">
        <v>-0.1</v>
      </c>
      <c r="AT327" s="91"/>
      <c r="AU327" s="91"/>
      <c r="AV327" s="91"/>
      <c r="AW327" s="92"/>
      <c r="BB327" s="147"/>
      <c r="BC327" s="148"/>
      <c r="BD327" s="117"/>
      <c r="BE327" s="61"/>
      <c r="BF327" s="61"/>
      <c r="BG327" s="61"/>
      <c r="BH327" s="61"/>
      <c r="BI327" s="61"/>
      <c r="BJ327" s="61"/>
      <c r="BK327" s="80"/>
      <c r="BM327" s="76">
        <v>2.67</v>
      </c>
      <c r="BN327" s="75">
        <v>-1</v>
      </c>
      <c r="BO327" s="75"/>
      <c r="BP327" s="77">
        <v>2.1000000000000001E-2</v>
      </c>
      <c r="BQ327" s="75">
        <v>-0.95</v>
      </c>
      <c r="BR327" s="75"/>
      <c r="BS327" s="77">
        <v>2.1000000000000001E-2</v>
      </c>
      <c r="BT327" s="75">
        <v>-0.18</v>
      </c>
      <c r="BU327" s="77"/>
      <c r="BV327" s="81"/>
      <c r="BX327" s="133">
        <v>19</v>
      </c>
      <c r="BY327" s="133">
        <v>95</v>
      </c>
      <c r="BZ327" s="133">
        <v>350</v>
      </c>
      <c r="CA327" s="133">
        <v>85</v>
      </c>
      <c r="CB327" s="133" t="s">
        <v>386</v>
      </c>
      <c r="CC327" s="57" t="s">
        <v>55</v>
      </c>
      <c r="CD327" s="57">
        <v>2</v>
      </c>
    </row>
    <row r="328" spans="17:82" x14ac:dyDescent="0.25">
      <c r="Q328" s="148" t="s">
        <v>750</v>
      </c>
      <c r="R328" s="148"/>
      <c r="S328" s="148"/>
      <c r="U328" s="129">
        <v>21</v>
      </c>
      <c r="V328" s="130">
        <v>115</v>
      </c>
      <c r="W328" s="130"/>
      <c r="X328" s="130"/>
      <c r="Y328" s="130"/>
      <c r="Z328" s="130"/>
      <c r="AA328" s="63"/>
      <c r="AC328" s="147" t="s">
        <v>726</v>
      </c>
      <c r="AD328" s="148"/>
      <c r="AE328" s="64">
        <f>((AE326*0.8)+(AE327*0.2))</f>
        <v>0.06</v>
      </c>
      <c r="AF328" s="61"/>
      <c r="AG328" s="91">
        <v>-0.7</v>
      </c>
      <c r="AH328" s="91"/>
      <c r="AI328" s="91"/>
      <c r="AJ328" s="92"/>
      <c r="AL328" s="68">
        <v>52</v>
      </c>
      <c r="AM328" s="69">
        <v>-1</v>
      </c>
      <c r="AN328" s="70"/>
      <c r="AO328" s="61"/>
      <c r="AP328" s="61"/>
      <c r="AQ328" s="61"/>
      <c r="AR328" s="61" t="s">
        <v>54</v>
      </c>
      <c r="AS328" s="91">
        <v>0</v>
      </c>
      <c r="AT328" s="91"/>
      <c r="AU328" s="91"/>
      <c r="AV328" s="91"/>
      <c r="AW328" s="92"/>
      <c r="BB328" s="147"/>
      <c r="BC328" s="148"/>
      <c r="BD328" s="130"/>
      <c r="BE328" s="61"/>
      <c r="BF328" s="61"/>
      <c r="BG328" s="61"/>
      <c r="BH328" s="61"/>
      <c r="BI328" s="61"/>
      <c r="BJ328" s="61"/>
      <c r="BK328" s="80"/>
      <c r="BM328" s="76">
        <v>2.68</v>
      </c>
      <c r="BN328" s="75">
        <v>-1</v>
      </c>
      <c r="BO328" s="75"/>
      <c r="BP328" s="77">
        <v>2.1999999999999999E-2</v>
      </c>
      <c r="BQ328" s="75">
        <v>-0.9</v>
      </c>
      <c r="BR328" s="75"/>
      <c r="BS328" s="77">
        <v>2.1999999999999999E-2</v>
      </c>
      <c r="BT328" s="75">
        <v>-0.21</v>
      </c>
      <c r="BU328" s="77"/>
      <c r="BV328" s="81"/>
      <c r="BX328" s="133">
        <v>19.5</v>
      </c>
      <c r="BY328" s="133">
        <v>100</v>
      </c>
      <c r="BZ328" s="133">
        <v>350</v>
      </c>
      <c r="CA328" s="133">
        <v>85</v>
      </c>
      <c r="CB328" s="133" t="s">
        <v>387</v>
      </c>
      <c r="CC328" s="57" t="s">
        <v>55</v>
      </c>
      <c r="CD328" s="57">
        <v>3</v>
      </c>
    </row>
    <row r="329" spans="17:82" x14ac:dyDescent="0.25">
      <c r="Q329" s="138">
        <f t="shared" ref="Q329:Q337" si="11">ABS(S329-R329)</f>
        <v>0.63593749999999982</v>
      </c>
      <c r="R329" s="138">
        <v>0</v>
      </c>
      <c r="S329" s="138">
        <f t="shared" ref="S329:S337" si="12">MOD($S$316,1)</f>
        <v>0.63593749999999982</v>
      </c>
      <c r="U329" s="129">
        <v>21.5</v>
      </c>
      <c r="V329" s="130">
        <v>120</v>
      </c>
      <c r="W329" s="130"/>
      <c r="X329" s="130"/>
      <c r="Y329" s="130"/>
      <c r="Z329" s="130"/>
      <c r="AA329" s="63"/>
      <c r="AC329" s="147" t="s">
        <v>806</v>
      </c>
      <c r="AD329" s="148"/>
      <c r="AE329" s="64">
        <f>(VLOOKUP($G$15,$BB$306:$BC$308,2,FALSE)*0.5)+(VLOOKUP($G$16,$BD$306:$BE$310,2,FALSE)*0.5)</f>
        <v>0.5</v>
      </c>
      <c r="AF329" s="61"/>
      <c r="AG329" s="91">
        <v>-0.6</v>
      </c>
      <c r="AH329" s="91"/>
      <c r="AI329" s="91"/>
      <c r="AJ329" s="92"/>
      <c r="AL329" s="68">
        <v>53</v>
      </c>
      <c r="AM329" s="69">
        <v>-1</v>
      </c>
      <c r="AN329" s="69"/>
      <c r="AO329" s="61"/>
      <c r="AP329" s="61"/>
      <c r="AQ329" s="61"/>
      <c r="AR329" s="61"/>
      <c r="AS329" s="91">
        <v>0.1</v>
      </c>
      <c r="AT329" s="91"/>
      <c r="AU329" s="91"/>
      <c r="AV329" s="91"/>
      <c r="AW329" s="92"/>
      <c r="BB329" s="147"/>
      <c r="BC329" s="148"/>
      <c r="BD329" s="64"/>
      <c r="BE329" s="61"/>
      <c r="BF329" s="61"/>
      <c r="BG329" s="61"/>
      <c r="BH329" s="61"/>
      <c r="BI329" s="61"/>
      <c r="BJ329" s="61"/>
      <c r="BK329" s="80"/>
      <c r="BM329" s="76">
        <v>2.69</v>
      </c>
      <c r="BN329" s="75">
        <v>-1</v>
      </c>
      <c r="BO329" s="75"/>
      <c r="BP329" s="77">
        <v>2.3E-2</v>
      </c>
      <c r="BQ329" s="75">
        <v>-0.85</v>
      </c>
      <c r="BR329" s="75"/>
      <c r="BS329" s="77">
        <v>2.3E-2</v>
      </c>
      <c r="BT329" s="75">
        <v>-0.24</v>
      </c>
      <c r="BU329" s="77"/>
      <c r="BV329" s="81"/>
      <c r="BX329" s="133">
        <v>20</v>
      </c>
      <c r="BY329" s="133">
        <v>105</v>
      </c>
      <c r="BZ329" s="133">
        <v>350</v>
      </c>
      <c r="CA329" s="133">
        <v>85</v>
      </c>
      <c r="CB329" s="133" t="s">
        <v>388</v>
      </c>
      <c r="CC329" s="57" t="s">
        <v>56</v>
      </c>
      <c r="CD329" s="57">
        <v>4</v>
      </c>
    </row>
    <row r="330" spans="17:82" x14ac:dyDescent="0.25">
      <c r="Q330" s="138">
        <f t="shared" si="11"/>
        <v>0.51093749999999982</v>
      </c>
      <c r="R330" s="133">
        <v>0.125</v>
      </c>
      <c r="S330" s="138">
        <f t="shared" si="12"/>
        <v>0.63593749999999982</v>
      </c>
      <c r="U330" s="129">
        <v>22</v>
      </c>
      <c r="V330" s="130">
        <v>125</v>
      </c>
      <c r="W330" s="130"/>
      <c r="X330" s="130"/>
      <c r="Y330" s="130"/>
      <c r="Z330" s="130"/>
      <c r="AA330" s="63"/>
      <c r="AC330" s="147" t="s">
        <v>812</v>
      </c>
      <c r="AD330" s="148"/>
      <c r="AE330" s="111">
        <f>0+($S$38*AE329)</f>
        <v>2.5</v>
      </c>
      <c r="AF330" s="61" t="s">
        <v>32</v>
      </c>
      <c r="AG330" s="91">
        <v>-0.5</v>
      </c>
      <c r="AH330" s="91"/>
      <c r="AI330" s="91"/>
      <c r="AJ330" s="92"/>
      <c r="AL330" s="68">
        <v>54</v>
      </c>
      <c r="AM330" s="69">
        <v>-1</v>
      </c>
      <c r="AN330" s="70"/>
      <c r="AO330" s="61"/>
      <c r="AP330" s="61"/>
      <c r="AQ330" s="61"/>
      <c r="AR330" s="61"/>
      <c r="AS330" s="91">
        <v>0.2</v>
      </c>
      <c r="AT330" s="91"/>
      <c r="AU330" s="91"/>
      <c r="AV330" s="91"/>
      <c r="AW330" s="92"/>
      <c r="BB330" s="147"/>
      <c r="BC330" s="148"/>
      <c r="BD330" s="117"/>
      <c r="BE330" s="61"/>
      <c r="BF330" s="61"/>
      <c r="BG330" s="61"/>
      <c r="BH330" s="61"/>
      <c r="BI330" s="61"/>
      <c r="BJ330" s="61"/>
      <c r="BK330" s="80"/>
      <c r="BM330" s="76">
        <v>2.7</v>
      </c>
      <c r="BN330" s="75">
        <v>-1</v>
      </c>
      <c r="BO330" s="75"/>
      <c r="BP330" s="77">
        <v>2.4E-2</v>
      </c>
      <c r="BQ330" s="75">
        <v>-0.8</v>
      </c>
      <c r="BR330" s="75"/>
      <c r="BS330" s="77">
        <v>2.4E-2</v>
      </c>
      <c r="BT330" s="75">
        <v>-0.27</v>
      </c>
      <c r="BU330" s="77"/>
      <c r="BV330" s="81"/>
      <c r="BX330" s="133">
        <v>20.5</v>
      </c>
      <c r="BY330" s="133">
        <v>110</v>
      </c>
      <c r="BZ330" s="133">
        <v>350</v>
      </c>
      <c r="CA330" s="133">
        <v>85</v>
      </c>
      <c r="CB330" s="133" t="s">
        <v>389</v>
      </c>
      <c r="CC330" s="57" t="s">
        <v>56</v>
      </c>
      <c r="CD330" s="57">
        <v>5</v>
      </c>
    </row>
    <row r="331" spans="17:82" x14ac:dyDescent="0.25">
      <c r="Q331" s="138">
        <f t="shared" si="11"/>
        <v>0.38593749999999982</v>
      </c>
      <c r="R331" s="138">
        <v>0.25</v>
      </c>
      <c r="S331" s="138">
        <f t="shared" si="12"/>
        <v>0.63593749999999982</v>
      </c>
      <c r="U331" s="129">
        <v>22.5</v>
      </c>
      <c r="V331" s="130">
        <v>130</v>
      </c>
      <c r="W331" s="130"/>
      <c r="X331" s="130"/>
      <c r="Y331" s="130"/>
      <c r="Z331" s="130"/>
      <c r="AA331" s="63"/>
      <c r="AC331" s="147" t="s">
        <v>810</v>
      </c>
      <c r="AD331" s="148"/>
      <c r="AE331" s="117">
        <f>IF(AE328&lt;0%,(AE330-($S$38-AE330)),$S$38)</f>
        <v>5</v>
      </c>
      <c r="AF331" s="61"/>
      <c r="AG331" s="91">
        <v>-0.4</v>
      </c>
      <c r="AH331" s="91"/>
      <c r="AI331" s="91"/>
      <c r="AJ331" s="92"/>
      <c r="AL331" s="68">
        <v>55</v>
      </c>
      <c r="AM331" s="69">
        <v>-1</v>
      </c>
      <c r="AN331" s="69"/>
      <c r="AO331" s="61"/>
      <c r="AP331" s="61"/>
      <c r="AQ331" s="61"/>
      <c r="AR331" s="61"/>
      <c r="AS331" s="91">
        <v>0.3</v>
      </c>
      <c r="AT331" s="91"/>
      <c r="AU331" s="91"/>
      <c r="AV331" s="91"/>
      <c r="AW331" s="92"/>
      <c r="BB331" s="147"/>
      <c r="BC331" s="148"/>
      <c r="BD331" s="117"/>
      <c r="BE331" s="61"/>
      <c r="BF331" s="61"/>
      <c r="BG331" s="61"/>
      <c r="BH331" s="61"/>
      <c r="BI331" s="61"/>
      <c r="BJ331" s="61"/>
      <c r="BK331" s="80"/>
      <c r="BM331" s="76">
        <v>2.71</v>
      </c>
      <c r="BN331" s="75">
        <v>-1</v>
      </c>
      <c r="BO331" s="75"/>
      <c r="BP331" s="77">
        <v>2.5000000000000001E-2</v>
      </c>
      <c r="BQ331" s="75">
        <v>-0.75</v>
      </c>
      <c r="BR331" s="75"/>
      <c r="BS331" s="77">
        <v>2.5000000000000001E-2</v>
      </c>
      <c r="BT331" s="75">
        <v>-0.3</v>
      </c>
      <c r="BU331" s="77"/>
      <c r="BV331" s="81"/>
      <c r="BX331" s="133">
        <v>21</v>
      </c>
      <c r="BY331" s="133">
        <v>115</v>
      </c>
      <c r="BZ331" s="133">
        <v>350</v>
      </c>
      <c r="CA331" s="133">
        <v>85</v>
      </c>
      <c r="CB331" s="133" t="s">
        <v>390</v>
      </c>
      <c r="CC331" s="57" t="s">
        <v>56</v>
      </c>
      <c r="CD331" s="57">
        <v>6</v>
      </c>
    </row>
    <row r="332" spans="17:82" x14ac:dyDescent="0.25">
      <c r="Q332" s="138">
        <f t="shared" si="11"/>
        <v>0.26093749999999982</v>
      </c>
      <c r="R332" s="133">
        <v>0.375</v>
      </c>
      <c r="S332" s="138">
        <f t="shared" si="12"/>
        <v>0.63593749999999982</v>
      </c>
      <c r="U332" s="129">
        <v>23</v>
      </c>
      <c r="V332" s="130">
        <v>135</v>
      </c>
      <c r="W332" s="130"/>
      <c r="X332" s="130"/>
      <c r="Y332" s="130"/>
      <c r="Z332" s="130"/>
      <c r="AA332" s="63"/>
      <c r="AC332" s="147" t="s">
        <v>808</v>
      </c>
      <c r="AD332" s="148"/>
      <c r="AE332" s="117">
        <f>IF(AE328&lt;0%,((AE330-((AE330-AE331)*ABS(AE328)))),((AE330+((AE331-AE330)*ABS(AE328)))))</f>
        <v>2.65</v>
      </c>
      <c r="AF332" s="61"/>
      <c r="AG332" s="91">
        <v>-0.3</v>
      </c>
      <c r="AH332" s="91"/>
      <c r="AI332" s="91"/>
      <c r="AJ332" s="92"/>
      <c r="AL332" s="68"/>
      <c r="AM332" s="61"/>
      <c r="AN332" s="61"/>
      <c r="AO332" s="61"/>
      <c r="AP332" s="61"/>
      <c r="AQ332" s="61"/>
      <c r="AR332" s="61" t="s">
        <v>723</v>
      </c>
      <c r="AS332" s="91">
        <v>0.4</v>
      </c>
      <c r="AT332" s="91"/>
      <c r="AU332" s="91"/>
      <c r="AV332" s="91"/>
      <c r="AW332" s="92"/>
      <c r="BB332" s="147"/>
      <c r="BC332" s="148"/>
      <c r="BD332" s="130"/>
      <c r="BE332" s="61"/>
      <c r="BF332" s="61"/>
      <c r="BG332" s="61"/>
      <c r="BH332" s="61"/>
      <c r="BI332" s="61"/>
      <c r="BJ332" s="61"/>
      <c r="BK332" s="80"/>
      <c r="BM332" s="76">
        <v>2.72</v>
      </c>
      <c r="BN332" s="75">
        <v>-1</v>
      </c>
      <c r="BO332" s="75"/>
      <c r="BP332" s="77">
        <v>2.5999999999999999E-2</v>
      </c>
      <c r="BQ332" s="75">
        <v>-0.7</v>
      </c>
      <c r="BR332" s="75"/>
      <c r="BS332" s="77">
        <v>2.5999999999999999E-2</v>
      </c>
      <c r="BT332" s="75">
        <v>-0.33</v>
      </c>
      <c r="BU332" s="77"/>
      <c r="BV332" s="81"/>
      <c r="BX332" s="133">
        <v>21.5</v>
      </c>
      <c r="BY332" s="133">
        <v>120</v>
      </c>
      <c r="BZ332" s="133">
        <v>350</v>
      </c>
      <c r="CA332" s="133">
        <v>85</v>
      </c>
      <c r="CB332" s="133" t="s">
        <v>391</v>
      </c>
      <c r="CC332" s="57" t="s">
        <v>57</v>
      </c>
      <c r="CD332" s="57">
        <v>7</v>
      </c>
    </row>
    <row r="333" spans="17:82" x14ac:dyDescent="0.25">
      <c r="Q333" s="138">
        <f t="shared" si="11"/>
        <v>0.13593749999999982</v>
      </c>
      <c r="R333" s="138">
        <v>0.5</v>
      </c>
      <c r="S333" s="138">
        <f t="shared" si="12"/>
        <v>0.63593749999999982</v>
      </c>
      <c r="U333" s="129">
        <v>23.5</v>
      </c>
      <c r="V333" s="130">
        <v>140</v>
      </c>
      <c r="W333" s="130"/>
      <c r="X333" s="130"/>
      <c r="Y333" s="130"/>
      <c r="Z333" s="130"/>
      <c r="AA333" s="63"/>
      <c r="AC333" s="147" t="s">
        <v>811</v>
      </c>
      <c r="AD333" s="148"/>
      <c r="AE333" s="117">
        <f>0+($S$38*AE329)</f>
        <v>2.5</v>
      </c>
      <c r="AF333" s="61"/>
      <c r="AG333" s="91">
        <v>-0.2</v>
      </c>
      <c r="AH333" s="91"/>
      <c r="AI333" s="91"/>
      <c r="AJ333" s="92"/>
      <c r="AL333" s="68"/>
      <c r="AM333" s="61"/>
      <c r="AN333" s="148" t="s">
        <v>37</v>
      </c>
      <c r="AO333" s="148"/>
      <c r="AP333" s="148"/>
      <c r="AQ333" s="61"/>
      <c r="AR333" s="61"/>
      <c r="AS333" s="91">
        <v>0.5</v>
      </c>
      <c r="AT333" s="91"/>
      <c r="AU333" s="91"/>
      <c r="AV333" s="91"/>
      <c r="AW333" s="92"/>
      <c r="BB333" s="147"/>
      <c r="BC333" s="148"/>
      <c r="BD333" s="64"/>
      <c r="BE333" s="61"/>
      <c r="BF333" s="61"/>
      <c r="BG333" s="61"/>
      <c r="BH333" s="61"/>
      <c r="BI333" s="61"/>
      <c r="BJ333" s="61"/>
      <c r="BK333" s="80"/>
      <c r="BM333" s="76">
        <v>2.73</v>
      </c>
      <c r="BN333" s="75">
        <v>-1</v>
      </c>
      <c r="BO333" s="75"/>
      <c r="BP333" s="77">
        <v>2.7E-2</v>
      </c>
      <c r="BQ333" s="75">
        <v>-0.65</v>
      </c>
      <c r="BR333" s="75"/>
      <c r="BS333" s="77">
        <v>2.7E-2</v>
      </c>
      <c r="BT333" s="75">
        <v>-0.36</v>
      </c>
      <c r="BU333" s="77"/>
      <c r="BV333" s="81"/>
      <c r="BX333" s="133">
        <v>22</v>
      </c>
      <c r="BY333" s="133">
        <v>125</v>
      </c>
      <c r="BZ333" s="133">
        <v>350</v>
      </c>
      <c r="CA333" s="133">
        <v>85</v>
      </c>
      <c r="CB333" s="133" t="s">
        <v>392</v>
      </c>
      <c r="CC333" s="57" t="s">
        <v>57</v>
      </c>
      <c r="CD333" s="57">
        <v>8</v>
      </c>
    </row>
    <row r="334" spans="17:82" x14ac:dyDescent="0.25">
      <c r="Q334" s="138">
        <f t="shared" si="11"/>
        <v>1.0937499999999822E-2</v>
      </c>
      <c r="R334" s="133">
        <v>0.625</v>
      </c>
      <c r="S334" s="138">
        <f t="shared" si="12"/>
        <v>0.63593749999999982</v>
      </c>
      <c r="U334" s="129">
        <v>24</v>
      </c>
      <c r="V334" s="130">
        <v>145</v>
      </c>
      <c r="W334" s="130"/>
      <c r="X334" s="130"/>
      <c r="Y334" s="130"/>
      <c r="Z334" s="130"/>
      <c r="AA334" s="63"/>
      <c r="AC334" s="147" t="s">
        <v>809</v>
      </c>
      <c r="AD334" s="148"/>
      <c r="AE334" s="117">
        <f>IF(AE328&lt;0%,(AE330-((AE330-0))),((AE330*2)))</f>
        <v>5</v>
      </c>
      <c r="AF334" s="61"/>
      <c r="AG334" s="91">
        <v>-0.1</v>
      </c>
      <c r="AH334" s="91"/>
      <c r="AI334" s="91"/>
      <c r="AJ334" s="92"/>
      <c r="AL334" s="68"/>
      <c r="AM334" s="61"/>
      <c r="AN334" s="148" t="s">
        <v>38</v>
      </c>
      <c r="AO334" s="148"/>
      <c r="AP334" s="91">
        <f>VLOOKUP(E19,AL306:AM331,2,FALSE)</f>
        <v>0</v>
      </c>
      <c r="AQ334" s="61"/>
      <c r="AR334" s="61"/>
      <c r="AS334" s="91">
        <v>0.6</v>
      </c>
      <c r="AT334" s="91"/>
      <c r="AU334" s="91"/>
      <c r="AV334" s="91"/>
      <c r="AW334" s="92"/>
      <c r="BB334" s="147"/>
      <c r="BC334" s="148"/>
      <c r="BD334" s="117"/>
      <c r="BE334" s="61"/>
      <c r="BF334" s="61"/>
      <c r="BG334" s="61"/>
      <c r="BH334" s="61"/>
      <c r="BI334" s="61"/>
      <c r="BJ334" s="61"/>
      <c r="BK334" s="80"/>
      <c r="BM334" s="76">
        <v>2.74</v>
      </c>
      <c r="BN334" s="75">
        <v>-1</v>
      </c>
      <c r="BO334" s="75"/>
      <c r="BP334" s="77">
        <v>2.8000000000000001E-2</v>
      </c>
      <c r="BQ334" s="75">
        <v>-0.6</v>
      </c>
      <c r="BR334" s="75"/>
      <c r="BS334" s="77">
        <v>2.8000000000000001E-2</v>
      </c>
      <c r="BT334" s="75">
        <v>-0.39</v>
      </c>
      <c r="BU334" s="77"/>
      <c r="BV334" s="81"/>
      <c r="BX334" s="133">
        <v>22.5</v>
      </c>
      <c r="BY334" s="133">
        <v>130</v>
      </c>
      <c r="BZ334" s="133">
        <v>350</v>
      </c>
      <c r="CA334" s="133">
        <v>85</v>
      </c>
      <c r="CB334" s="133" t="s">
        <v>393</v>
      </c>
      <c r="CC334" s="57" t="s">
        <v>57</v>
      </c>
      <c r="CD334" s="57">
        <v>9</v>
      </c>
    </row>
    <row r="335" spans="17:82" x14ac:dyDescent="0.25">
      <c r="Q335" s="138">
        <f t="shared" si="11"/>
        <v>0.11406250000000018</v>
      </c>
      <c r="R335" s="138">
        <v>0.75</v>
      </c>
      <c r="S335" s="138">
        <f t="shared" si="12"/>
        <v>0.63593749999999982</v>
      </c>
      <c r="U335" s="129">
        <v>24.5</v>
      </c>
      <c r="V335" s="130">
        <v>150</v>
      </c>
      <c r="W335" s="130"/>
      <c r="X335" s="130"/>
      <c r="Y335" s="130"/>
      <c r="Z335" s="130"/>
      <c r="AA335" s="63"/>
      <c r="AC335" s="147" t="s">
        <v>813</v>
      </c>
      <c r="AD335" s="148"/>
      <c r="AE335" s="117">
        <f>IF(AE328&lt;0%,((AE333-((AE333-AE334)*ABS(AE328)))),((AE333+((AE334-AE333)*ABS(AE328)))))</f>
        <v>2.65</v>
      </c>
      <c r="AF335" s="61" t="s">
        <v>54</v>
      </c>
      <c r="AG335" s="91">
        <v>0</v>
      </c>
      <c r="AH335" s="91"/>
      <c r="AI335" s="91"/>
      <c r="AJ335" s="92"/>
      <c r="AL335" s="68"/>
      <c r="AM335" s="61"/>
      <c r="AN335" s="148" t="s">
        <v>39</v>
      </c>
      <c r="AO335" s="148"/>
      <c r="AP335" s="91">
        <f>VLOOKUP(E20,AO306:AP326,2,FALSE)</f>
        <v>-0.15</v>
      </c>
      <c r="AQ335" s="61"/>
      <c r="AR335" s="61"/>
      <c r="AS335" s="91">
        <v>0.7</v>
      </c>
      <c r="AT335" s="91"/>
      <c r="AU335" s="91"/>
      <c r="AV335" s="91"/>
      <c r="AW335" s="92"/>
      <c r="BB335" s="147"/>
      <c r="BC335" s="148"/>
      <c r="BD335" s="117"/>
      <c r="BE335" s="61"/>
      <c r="BF335" s="61"/>
      <c r="BG335" s="61"/>
      <c r="BH335" s="61"/>
      <c r="BI335" s="61"/>
      <c r="BJ335" s="61"/>
      <c r="BK335" s="80"/>
      <c r="BM335" s="76">
        <v>2.75</v>
      </c>
      <c r="BN335" s="75">
        <v>-1</v>
      </c>
      <c r="BO335" s="75"/>
      <c r="BP335" s="77">
        <v>2.9000000000000001E-2</v>
      </c>
      <c r="BQ335" s="75">
        <v>-0.55000000000000004</v>
      </c>
      <c r="BR335" s="75"/>
      <c r="BS335" s="77">
        <v>2.9000000000000001E-2</v>
      </c>
      <c r="BT335" s="75">
        <v>-0.42</v>
      </c>
      <c r="BU335" s="77"/>
      <c r="BV335" s="81"/>
      <c r="BX335" s="133">
        <v>23</v>
      </c>
      <c r="BY335" s="133">
        <v>135</v>
      </c>
      <c r="BZ335" s="133">
        <v>350</v>
      </c>
      <c r="CA335" s="133">
        <v>85</v>
      </c>
      <c r="CB335" s="133" t="s">
        <v>394</v>
      </c>
      <c r="CC335" s="57" t="s">
        <v>58</v>
      </c>
      <c r="CD335" s="57">
        <v>10</v>
      </c>
    </row>
    <row r="336" spans="17:82" x14ac:dyDescent="0.25">
      <c r="Q336" s="138">
        <f t="shared" si="11"/>
        <v>0.23906250000000018</v>
      </c>
      <c r="R336" s="133">
        <v>0.875</v>
      </c>
      <c r="S336" s="138">
        <f t="shared" si="12"/>
        <v>0.63593749999999982</v>
      </c>
      <c r="U336" s="129">
        <v>25</v>
      </c>
      <c r="V336" s="130">
        <v>155</v>
      </c>
      <c r="W336" s="130"/>
      <c r="X336" s="130"/>
      <c r="Y336" s="130"/>
      <c r="Z336" s="130"/>
      <c r="AA336" s="63"/>
      <c r="AC336" s="147" t="s">
        <v>714</v>
      </c>
      <c r="AD336" s="148"/>
      <c r="AE336" s="111" t="str">
        <f>IF($S$38-AE330&gt;(ABS(0-AE330)),"LOW","HIGH")</f>
        <v>HIGH</v>
      </c>
      <c r="AF336" s="61"/>
      <c r="AG336" s="91">
        <v>0.1</v>
      </c>
      <c r="AH336" s="91"/>
      <c r="AI336" s="91"/>
      <c r="AJ336" s="92"/>
      <c r="AL336" s="68"/>
      <c r="AM336" s="61"/>
      <c r="AN336" s="148" t="s">
        <v>47</v>
      </c>
      <c r="AO336" s="148"/>
      <c r="AP336" s="97">
        <f>VLOOKUP(E21,AR306:AS312,2,FALSE)</f>
        <v>0</v>
      </c>
      <c r="AQ336" s="61"/>
      <c r="AR336" s="61" t="s">
        <v>725</v>
      </c>
      <c r="AS336" s="91">
        <v>0.8</v>
      </c>
      <c r="AT336" s="91"/>
      <c r="AU336" s="91"/>
      <c r="AV336" s="91"/>
      <c r="AW336" s="92"/>
      <c r="BB336" s="147"/>
      <c r="BC336" s="148"/>
      <c r="BD336" s="130"/>
      <c r="BE336" s="61"/>
      <c r="BF336" s="61"/>
      <c r="BG336" s="61"/>
      <c r="BH336" s="61"/>
      <c r="BI336" s="61"/>
      <c r="BJ336" s="61"/>
      <c r="BK336" s="80"/>
      <c r="BM336" s="76">
        <v>2.76</v>
      </c>
      <c r="BN336" s="75">
        <v>-1</v>
      </c>
      <c r="BO336" s="75"/>
      <c r="BP336" s="77">
        <v>0.03</v>
      </c>
      <c r="BQ336" s="75">
        <v>-0.5</v>
      </c>
      <c r="BR336" s="75"/>
      <c r="BS336" s="77">
        <v>0.03</v>
      </c>
      <c r="BT336" s="75">
        <v>-0.45</v>
      </c>
      <c r="BU336" s="77"/>
      <c r="BV336" s="81"/>
      <c r="BX336" s="133">
        <v>23.5</v>
      </c>
      <c r="BY336" s="133">
        <v>140</v>
      </c>
      <c r="BZ336" s="133">
        <v>350</v>
      </c>
      <c r="CA336" s="133">
        <v>85</v>
      </c>
      <c r="CB336" s="133" t="s">
        <v>395</v>
      </c>
      <c r="CC336" s="57" t="s">
        <v>58</v>
      </c>
      <c r="CD336" s="57">
        <v>11</v>
      </c>
    </row>
    <row r="337" spans="17:82" x14ac:dyDescent="0.25">
      <c r="Q337" s="138">
        <f t="shared" si="11"/>
        <v>0.36406250000000018</v>
      </c>
      <c r="R337" s="138">
        <v>1</v>
      </c>
      <c r="S337" s="138">
        <f t="shared" si="12"/>
        <v>0.63593749999999982</v>
      </c>
      <c r="U337" s="147" t="s">
        <v>27</v>
      </c>
      <c r="V337" s="148"/>
      <c r="W337" s="148"/>
      <c r="X337" s="130"/>
      <c r="Y337" s="148" t="s">
        <v>709</v>
      </c>
      <c r="Z337" s="148"/>
      <c r="AA337" s="63"/>
      <c r="AC337" s="147" t="s">
        <v>807</v>
      </c>
      <c r="AD337" s="148"/>
      <c r="AE337" s="117">
        <f>IF(AE336="HIGH",AE332,AE335)</f>
        <v>2.65</v>
      </c>
      <c r="AF337" s="61"/>
      <c r="AG337" s="91">
        <v>0.2</v>
      </c>
      <c r="AH337" s="91"/>
      <c r="AI337" s="91"/>
      <c r="AJ337" s="92"/>
      <c r="AL337" s="68"/>
      <c r="AM337" s="61"/>
      <c r="AN337" s="148" t="s">
        <v>720</v>
      </c>
      <c r="AO337" s="148"/>
      <c r="AP337" s="97">
        <f>((AP334*0.5)+(AP335*0.25)+(AP336*0.25))</f>
        <v>-3.7499999999999999E-2</v>
      </c>
      <c r="AQ337" s="61"/>
      <c r="AR337" s="61"/>
      <c r="AS337" s="61"/>
      <c r="AT337" s="61"/>
      <c r="AU337" s="61"/>
      <c r="AV337" s="61"/>
      <c r="AW337" s="80"/>
      <c r="BB337" s="147"/>
      <c r="BC337" s="148"/>
      <c r="BD337" s="64"/>
      <c r="BE337" s="61"/>
      <c r="BF337" s="61"/>
      <c r="BG337" s="61"/>
      <c r="BH337" s="61"/>
      <c r="BI337" s="61"/>
      <c r="BJ337" s="61"/>
      <c r="BK337" s="80"/>
      <c r="BM337" s="76">
        <v>2.77</v>
      </c>
      <c r="BN337" s="75">
        <v>-1</v>
      </c>
      <c r="BO337" s="75"/>
      <c r="BP337" s="77">
        <v>3.1E-2</v>
      </c>
      <c r="BQ337" s="75">
        <v>-0.45</v>
      </c>
      <c r="BR337" s="75"/>
      <c r="BS337" s="61"/>
      <c r="BT337" s="61"/>
      <c r="BU337" s="77"/>
      <c r="BV337" s="81"/>
      <c r="BX337" s="133">
        <v>24</v>
      </c>
      <c r="BY337" s="133">
        <v>145</v>
      </c>
      <c r="BZ337" s="133">
        <v>350</v>
      </c>
      <c r="CA337" s="133">
        <v>85</v>
      </c>
      <c r="CB337" s="133" t="s">
        <v>396</v>
      </c>
      <c r="CC337" s="57" t="s">
        <v>58</v>
      </c>
      <c r="CD337" s="57">
        <v>12</v>
      </c>
    </row>
    <row r="338" spans="17:82" x14ac:dyDescent="0.25">
      <c r="Q338" s="138">
        <f>MIN(Q329:Q337)</f>
        <v>1.0937499999999822E-2</v>
      </c>
      <c r="R338" s="133"/>
      <c r="S338" s="133"/>
      <c r="U338" s="147" t="s">
        <v>28</v>
      </c>
      <c r="V338" s="148"/>
      <c r="W338" s="130">
        <f>VLOOKUP(E13,U118:V148,2,FALSE)</f>
        <v>75</v>
      </c>
      <c r="X338" s="130"/>
      <c r="Y338" s="130">
        <v>-26</v>
      </c>
      <c r="Z338" s="64">
        <v>1</v>
      </c>
      <c r="AA338" s="63"/>
      <c r="AC338" s="147"/>
      <c r="AD338" s="148"/>
      <c r="AE338" s="117"/>
      <c r="AF338" s="61"/>
      <c r="AG338" s="91">
        <v>0.3</v>
      </c>
      <c r="AH338" s="91"/>
      <c r="AI338" s="91"/>
      <c r="AJ338" s="92"/>
      <c r="AL338" s="68"/>
      <c r="AM338" s="61"/>
      <c r="AN338" s="148" t="s">
        <v>806</v>
      </c>
      <c r="AO338" s="148"/>
      <c r="AP338" s="64">
        <f>(VLOOKUP($G$15,$BB$306:$BC$308,2,FALSE)*0.5)+(VLOOKUP($G$16,$BD$306:$BE$310,2,FALSE)*0.5)</f>
        <v>0.5</v>
      </c>
      <c r="AQ338" s="61"/>
      <c r="AR338" s="61"/>
      <c r="AS338" s="130"/>
      <c r="AT338" s="130"/>
      <c r="AU338" s="130"/>
      <c r="AV338" s="130"/>
      <c r="AW338" s="63"/>
      <c r="BB338" s="147"/>
      <c r="BC338" s="148"/>
      <c r="BD338" s="130"/>
      <c r="BE338" s="61"/>
      <c r="BF338" s="61"/>
      <c r="BG338" s="61"/>
      <c r="BH338" s="61"/>
      <c r="BI338" s="61"/>
      <c r="BJ338" s="61"/>
      <c r="BK338" s="80"/>
      <c r="BM338" s="76">
        <v>2.78</v>
      </c>
      <c r="BN338" s="75">
        <v>-1</v>
      </c>
      <c r="BO338" s="75"/>
      <c r="BP338" s="77">
        <v>3.2000000000000001E-2</v>
      </c>
      <c r="BQ338" s="75">
        <v>-0.4</v>
      </c>
      <c r="BR338" s="75"/>
      <c r="BS338" s="61"/>
      <c r="BT338" s="61"/>
      <c r="BU338" s="77"/>
      <c r="BV338" s="80"/>
      <c r="BX338" s="133">
        <v>24.5</v>
      </c>
      <c r="BY338" s="133">
        <v>150</v>
      </c>
      <c r="BZ338" s="133">
        <v>350</v>
      </c>
      <c r="CA338" s="133">
        <v>85</v>
      </c>
      <c r="CB338" s="133" t="s">
        <v>397</v>
      </c>
      <c r="CC338" s="57" t="s">
        <v>59</v>
      </c>
      <c r="CD338" s="57">
        <v>13</v>
      </c>
    </row>
    <row r="339" spans="17:82" x14ac:dyDescent="0.25">
      <c r="Q339" s="133" t="s">
        <v>749</v>
      </c>
      <c r="R339" s="133"/>
      <c r="S339" s="133"/>
      <c r="U339" s="147" t="s">
        <v>29</v>
      </c>
      <c r="V339" s="148"/>
      <c r="W339" s="130">
        <f>VLOOKUP(E14,X118:Y138,2,FALSE)</f>
        <v>75</v>
      </c>
      <c r="X339" s="130"/>
      <c r="Y339" s="130">
        <v>-25</v>
      </c>
      <c r="Z339" s="64">
        <v>1</v>
      </c>
      <c r="AA339" s="99"/>
      <c r="AC339" s="147"/>
      <c r="AD339" s="148"/>
      <c r="AE339" s="117"/>
      <c r="AF339" s="61" t="s">
        <v>31</v>
      </c>
      <c r="AG339" s="91">
        <v>0.4</v>
      </c>
      <c r="AH339" s="91"/>
      <c r="AI339" s="91"/>
      <c r="AJ339" s="92"/>
      <c r="AL339" s="68"/>
      <c r="AM339" s="61"/>
      <c r="AN339" s="148" t="s">
        <v>812</v>
      </c>
      <c r="AO339" s="148"/>
      <c r="AP339" s="111">
        <f>0+($S$38*AP338)</f>
        <v>2.5</v>
      </c>
      <c r="AQ339" s="61"/>
      <c r="AR339" s="61"/>
      <c r="AS339" s="61"/>
      <c r="AT339" s="61"/>
      <c r="AU339" s="61"/>
      <c r="AV339" s="61"/>
      <c r="AW339" s="80"/>
      <c r="BB339" s="123"/>
      <c r="BC339" s="130"/>
      <c r="BD339" s="130"/>
      <c r="BE339" s="61"/>
      <c r="BF339" s="61"/>
      <c r="BG339" s="61"/>
      <c r="BH339" s="61"/>
      <c r="BI339" s="61"/>
      <c r="BJ339" s="61"/>
      <c r="BK339" s="80"/>
      <c r="BM339" s="76">
        <v>2.79</v>
      </c>
      <c r="BN339" s="75">
        <v>-1</v>
      </c>
      <c r="BO339" s="75"/>
      <c r="BP339" s="77">
        <v>3.3000000000000002E-2</v>
      </c>
      <c r="BQ339" s="75">
        <v>-0.35</v>
      </c>
      <c r="BR339" s="75"/>
      <c r="BS339" s="61"/>
      <c r="BT339" s="61"/>
      <c r="BU339" s="77"/>
      <c r="BV339" s="80"/>
      <c r="BX339" s="133">
        <v>25</v>
      </c>
      <c r="BY339" s="133">
        <v>155</v>
      </c>
      <c r="BZ339" s="133">
        <v>350</v>
      </c>
      <c r="CA339" s="133">
        <v>85</v>
      </c>
      <c r="CB339" s="133" t="s">
        <v>398</v>
      </c>
      <c r="CC339" s="57" t="s">
        <v>59</v>
      </c>
      <c r="CD339" s="57">
        <v>14</v>
      </c>
    </row>
    <row r="340" spans="17:82" x14ac:dyDescent="0.25">
      <c r="Q340" s="139" t="s">
        <v>751</v>
      </c>
      <c r="R340" s="139"/>
      <c r="S340" s="139"/>
      <c r="U340" s="147" t="s">
        <v>30</v>
      </c>
      <c r="V340" s="148"/>
      <c r="W340" s="130">
        <f>(W338/W339)</f>
        <v>1</v>
      </c>
      <c r="X340" s="130"/>
      <c r="Y340" s="130">
        <v>-24</v>
      </c>
      <c r="Z340" s="64">
        <v>1</v>
      </c>
      <c r="AA340" s="99"/>
      <c r="AC340" s="147"/>
      <c r="AD340" s="148"/>
      <c r="AE340" s="130"/>
      <c r="AF340" s="61"/>
      <c r="AG340" s="91">
        <v>0.5</v>
      </c>
      <c r="AH340" s="91"/>
      <c r="AI340" s="91"/>
      <c r="AJ340" s="92"/>
      <c r="AL340" s="68"/>
      <c r="AM340" s="61"/>
      <c r="AN340" s="148" t="s">
        <v>810</v>
      </c>
      <c r="AO340" s="148"/>
      <c r="AP340" s="117">
        <f>IF(AP337&lt;0%,(AP339-($S$38-AP339)),$S$38)</f>
        <v>0</v>
      </c>
      <c r="AQ340" s="61"/>
      <c r="AR340" s="61"/>
      <c r="AS340" s="61"/>
      <c r="AT340" s="61"/>
      <c r="AU340" s="61"/>
      <c r="AV340" s="61"/>
      <c r="AW340" s="80"/>
      <c r="BB340" s="123"/>
      <c r="BC340" s="130"/>
      <c r="BD340" s="130"/>
      <c r="BE340" s="61"/>
      <c r="BF340" s="61"/>
      <c r="BG340" s="61"/>
      <c r="BH340" s="61"/>
      <c r="BI340" s="61"/>
      <c r="BJ340" s="61"/>
      <c r="BK340" s="80"/>
      <c r="BM340" s="76">
        <v>2.8</v>
      </c>
      <c r="BN340" s="75">
        <v>-1</v>
      </c>
      <c r="BO340" s="75"/>
      <c r="BP340" s="77">
        <v>3.4000000000000002E-2</v>
      </c>
      <c r="BQ340" s="75">
        <v>-0.3</v>
      </c>
      <c r="BR340" s="75"/>
      <c r="BS340" s="61"/>
      <c r="BT340" s="61"/>
      <c r="BU340" s="77"/>
      <c r="BV340" s="80"/>
      <c r="BX340" s="133">
        <v>10</v>
      </c>
      <c r="BY340" s="133">
        <v>5</v>
      </c>
      <c r="BZ340" s="133">
        <v>375</v>
      </c>
      <c r="CA340" s="133">
        <v>90</v>
      </c>
      <c r="CB340" s="133" t="s">
        <v>399</v>
      </c>
      <c r="CC340" s="57" t="s">
        <v>64</v>
      </c>
      <c r="CD340" s="57">
        <v>-17</v>
      </c>
    </row>
    <row r="341" spans="17:82" x14ac:dyDescent="0.25">
      <c r="Q341" s="138">
        <f t="shared" ref="Q341:Q349" si="13">ABS(S341-R341)</f>
        <v>0.625</v>
      </c>
      <c r="R341" s="138">
        <v>0</v>
      </c>
      <c r="S341" s="138">
        <f t="shared" ref="S341:S349" si="14">MOD($S$317,1)</f>
        <v>0.625</v>
      </c>
      <c r="U341" s="147" t="s">
        <v>65</v>
      </c>
      <c r="V341" s="148"/>
      <c r="W341" s="130">
        <f>VLOOKUP(E13&amp;"|"&amp;E14,CB7:CD649,3,FALSE)</f>
        <v>0</v>
      </c>
      <c r="X341" s="130"/>
      <c r="Y341" s="130">
        <v>-23</v>
      </c>
      <c r="Z341" s="64">
        <v>1</v>
      </c>
      <c r="AA341" s="99"/>
      <c r="AC341" s="147"/>
      <c r="AD341" s="148"/>
      <c r="AE341" s="64"/>
      <c r="AF341" s="61"/>
      <c r="AG341" s="91">
        <v>0.6</v>
      </c>
      <c r="AH341" s="91"/>
      <c r="AI341" s="91"/>
      <c r="AJ341" s="92"/>
      <c r="AL341" s="68"/>
      <c r="AM341" s="61"/>
      <c r="AN341" s="148" t="s">
        <v>808</v>
      </c>
      <c r="AO341" s="148"/>
      <c r="AP341" s="117">
        <f>IF(AP337&lt;0%,((AP339-((AP339-AP340)*ABS(AP337)))),((AP339+((AP340-AP339)*ABS(AP337)))))</f>
        <v>2.40625</v>
      </c>
      <c r="AQ341" s="61"/>
      <c r="AR341" s="61"/>
      <c r="AS341" s="61"/>
      <c r="AT341" s="61"/>
      <c r="AU341" s="61"/>
      <c r="AV341" s="61"/>
      <c r="AW341" s="80"/>
      <c r="BB341" s="123"/>
      <c r="BC341" s="130"/>
      <c r="BD341" s="130"/>
      <c r="BE341" s="61"/>
      <c r="BF341" s="61"/>
      <c r="BG341" s="61"/>
      <c r="BH341" s="61"/>
      <c r="BI341" s="61"/>
      <c r="BJ341" s="61"/>
      <c r="BK341" s="80"/>
      <c r="BM341" s="68"/>
      <c r="BN341" s="61"/>
      <c r="BO341" s="61"/>
      <c r="BP341" s="77">
        <v>3.5000000000000003E-2</v>
      </c>
      <c r="BQ341" s="75">
        <v>-0.25</v>
      </c>
      <c r="BR341" s="75"/>
      <c r="BS341" s="61"/>
      <c r="BT341" s="61"/>
      <c r="BU341" s="77"/>
      <c r="BV341" s="80"/>
      <c r="BX341" s="133">
        <v>10.5</v>
      </c>
      <c r="BY341" s="133">
        <v>10</v>
      </c>
      <c r="BZ341" s="133">
        <v>375</v>
      </c>
      <c r="CA341" s="133">
        <v>90</v>
      </c>
      <c r="CB341" s="133" t="s">
        <v>400</v>
      </c>
      <c r="CC341" s="57" t="s">
        <v>64</v>
      </c>
      <c r="CD341" s="57">
        <v>-16</v>
      </c>
    </row>
    <row r="342" spans="17:82" x14ac:dyDescent="0.25">
      <c r="Q342" s="138">
        <f t="shared" si="13"/>
        <v>0.5</v>
      </c>
      <c r="R342" s="133">
        <v>0.125</v>
      </c>
      <c r="S342" s="138">
        <f t="shared" si="14"/>
        <v>0.625</v>
      </c>
      <c r="U342" s="147" t="s">
        <v>710</v>
      </c>
      <c r="V342" s="148"/>
      <c r="W342" s="64">
        <f>VLOOKUP(W341,Y338:Z388,2,FALSE)</f>
        <v>0</v>
      </c>
      <c r="X342" s="130"/>
      <c r="Y342" s="130">
        <v>-22</v>
      </c>
      <c r="Z342" s="64">
        <v>1</v>
      </c>
      <c r="AA342" s="99"/>
      <c r="AC342" s="147"/>
      <c r="AD342" s="148"/>
      <c r="AE342" s="117"/>
      <c r="AF342" s="61"/>
      <c r="AG342" s="91">
        <v>0.7</v>
      </c>
      <c r="AH342" s="91"/>
      <c r="AI342" s="91"/>
      <c r="AJ342" s="92"/>
      <c r="AL342" s="68"/>
      <c r="AM342" s="61"/>
      <c r="AN342" s="148" t="s">
        <v>811</v>
      </c>
      <c r="AO342" s="148"/>
      <c r="AP342" s="117">
        <f>0+($S$38*AP338)</f>
        <v>2.5</v>
      </c>
      <c r="AQ342" s="91"/>
      <c r="AR342" s="61"/>
      <c r="AS342" s="61"/>
      <c r="AT342" s="61"/>
      <c r="AU342" s="61"/>
      <c r="AV342" s="61"/>
      <c r="AW342" s="80"/>
      <c r="BB342" s="123"/>
      <c r="BC342" s="130"/>
      <c r="BD342" s="130"/>
      <c r="BE342" s="61"/>
      <c r="BF342" s="61"/>
      <c r="BG342" s="61"/>
      <c r="BH342" s="61"/>
      <c r="BI342" s="61"/>
      <c r="BJ342" s="61"/>
      <c r="BK342" s="80"/>
      <c r="BM342" s="147" t="s">
        <v>791</v>
      </c>
      <c r="BN342" s="148"/>
      <c r="BO342" s="148"/>
      <c r="BP342" s="77">
        <v>3.5999999999999997E-2</v>
      </c>
      <c r="BQ342" s="75">
        <v>-0.2</v>
      </c>
      <c r="BR342" s="75"/>
      <c r="BS342" s="61"/>
      <c r="BT342" s="61"/>
      <c r="BU342" s="77"/>
      <c r="BV342" s="80"/>
      <c r="BX342" s="133">
        <v>11</v>
      </c>
      <c r="BY342" s="133">
        <v>15</v>
      </c>
      <c r="BZ342" s="133">
        <v>375</v>
      </c>
      <c r="CA342" s="133">
        <v>90</v>
      </c>
      <c r="CB342" s="133" t="s">
        <v>401</v>
      </c>
      <c r="CC342" s="57" t="s">
        <v>64</v>
      </c>
      <c r="CD342" s="57">
        <v>-15</v>
      </c>
    </row>
    <row r="343" spans="17:82" ht="15.75" thickBot="1" x14ac:dyDescent="0.3">
      <c r="Q343" s="138">
        <f t="shared" si="13"/>
        <v>0.375</v>
      </c>
      <c r="R343" s="138">
        <v>0.25</v>
      </c>
      <c r="S343" s="138">
        <f t="shared" si="14"/>
        <v>0.625</v>
      </c>
      <c r="U343" s="147" t="s">
        <v>806</v>
      </c>
      <c r="V343" s="148"/>
      <c r="W343" s="64">
        <f>(VLOOKUP($G$15,$BB$306:$BC$308,2,FALSE)*0.5)+(VLOOKUP($G$16,$BD$306:$BE$310,2,FALSE)*0.5)</f>
        <v>0.5</v>
      </c>
      <c r="X343" s="130"/>
      <c r="Y343" s="130">
        <v>-21</v>
      </c>
      <c r="Z343" s="64">
        <v>1</v>
      </c>
      <c r="AA343" s="99"/>
      <c r="AC343" s="147"/>
      <c r="AD343" s="148"/>
      <c r="AE343" s="117"/>
      <c r="AF343" s="61" t="s">
        <v>3</v>
      </c>
      <c r="AG343" s="91">
        <v>0.8</v>
      </c>
      <c r="AH343" s="91"/>
      <c r="AI343" s="91"/>
      <c r="AJ343" s="92"/>
      <c r="AL343" s="129"/>
      <c r="AM343" s="61"/>
      <c r="AN343" s="148" t="s">
        <v>809</v>
      </c>
      <c r="AO343" s="148"/>
      <c r="AP343" s="117">
        <f>IF(AP337&lt;0%,(AP339-((AP339-0))),((AP339*2)))</f>
        <v>0</v>
      </c>
      <c r="AQ343" s="61"/>
      <c r="AR343" s="61"/>
      <c r="AS343" s="61"/>
      <c r="AT343" s="61"/>
      <c r="AU343" s="61"/>
      <c r="AV343" s="61"/>
      <c r="AW343" s="80"/>
      <c r="BB343" s="124"/>
      <c r="BC343" s="132"/>
      <c r="BD343" s="132"/>
      <c r="BE343" s="95"/>
      <c r="BF343" s="95"/>
      <c r="BG343" s="95"/>
      <c r="BH343" s="95"/>
      <c r="BI343" s="95"/>
      <c r="BJ343" s="95"/>
      <c r="BK343" s="96"/>
      <c r="BM343" s="147" t="s">
        <v>52</v>
      </c>
      <c r="BN343" s="148"/>
      <c r="BO343" s="64">
        <f>VLOOKUP(G19,BM306:BN340,2,FALSE)</f>
        <v>0.75</v>
      </c>
      <c r="BP343" s="77">
        <v>3.6999999999999998E-2</v>
      </c>
      <c r="BQ343" s="75">
        <v>-0.15</v>
      </c>
      <c r="BR343" s="75"/>
      <c r="BS343" s="61"/>
      <c r="BT343" s="61"/>
      <c r="BU343" s="77"/>
      <c r="BV343" s="80"/>
      <c r="BX343" s="133">
        <v>11.5</v>
      </c>
      <c r="BY343" s="133">
        <v>20</v>
      </c>
      <c r="BZ343" s="133">
        <v>375</v>
      </c>
      <c r="CA343" s="133">
        <v>90</v>
      </c>
      <c r="CB343" s="133" t="s">
        <v>402</v>
      </c>
      <c r="CC343" s="57" t="s">
        <v>64</v>
      </c>
      <c r="CD343" s="57">
        <v>-14</v>
      </c>
    </row>
    <row r="344" spans="17:82" x14ac:dyDescent="0.25">
      <c r="Q344" s="138">
        <f t="shared" si="13"/>
        <v>0.25</v>
      </c>
      <c r="R344" s="133">
        <v>0.375</v>
      </c>
      <c r="S344" s="138">
        <f t="shared" si="14"/>
        <v>0.625</v>
      </c>
      <c r="U344" s="147" t="s">
        <v>812</v>
      </c>
      <c r="V344" s="148"/>
      <c r="W344" s="111">
        <f>0+($S$38*W343)</f>
        <v>2.5</v>
      </c>
      <c r="X344" s="130"/>
      <c r="Y344" s="130">
        <v>-20</v>
      </c>
      <c r="Z344" s="64">
        <v>1</v>
      </c>
      <c r="AA344" s="99"/>
      <c r="AC344" s="147"/>
      <c r="AD344" s="148"/>
      <c r="AE344" s="130"/>
      <c r="AF344" s="130"/>
      <c r="AG344" s="130"/>
      <c r="AH344" s="130"/>
      <c r="AI344" s="130"/>
      <c r="AJ344" s="63"/>
      <c r="AL344" s="129"/>
      <c r="AM344" s="61"/>
      <c r="AN344" s="148" t="s">
        <v>813</v>
      </c>
      <c r="AO344" s="148"/>
      <c r="AP344" s="117">
        <f>IF(AP337&lt;0%,((AP342-((AP342-AP343)*ABS(AP337)))),((AP342+((AP343-AP342)*ABS(AP337)))))</f>
        <v>2.40625</v>
      </c>
      <c r="AQ344" s="61"/>
      <c r="AR344" s="61"/>
      <c r="AS344" s="61"/>
      <c r="AT344" s="61"/>
      <c r="AU344" s="61"/>
      <c r="AV344" s="61"/>
      <c r="AW344" s="80"/>
      <c r="BM344" s="147" t="s">
        <v>53</v>
      </c>
      <c r="BN344" s="148"/>
      <c r="BO344" s="64">
        <f>VLOOKUP(G20,BP306:BQ366,2,FALSE)</f>
        <v>0.25</v>
      </c>
      <c r="BP344" s="77">
        <v>3.7999999999999999E-2</v>
      </c>
      <c r="BQ344" s="75">
        <v>-0.1</v>
      </c>
      <c r="BR344" s="75"/>
      <c r="BS344" s="61"/>
      <c r="BT344" s="61"/>
      <c r="BU344" s="77"/>
      <c r="BV344" s="80"/>
      <c r="BX344" s="133">
        <v>12</v>
      </c>
      <c r="BY344" s="133">
        <v>25</v>
      </c>
      <c r="BZ344" s="133">
        <v>375</v>
      </c>
      <c r="CA344" s="133">
        <v>90</v>
      </c>
      <c r="CB344" s="133" t="s">
        <v>403</v>
      </c>
      <c r="CC344" s="57" t="s">
        <v>64</v>
      </c>
      <c r="CD344" s="57">
        <v>-13</v>
      </c>
    </row>
    <row r="345" spans="17:82" x14ac:dyDescent="0.25">
      <c r="Q345" s="138">
        <f t="shared" si="13"/>
        <v>0.125</v>
      </c>
      <c r="R345" s="138">
        <v>0.5</v>
      </c>
      <c r="S345" s="138">
        <f t="shared" si="14"/>
        <v>0.625</v>
      </c>
      <c r="U345" s="147" t="s">
        <v>810</v>
      </c>
      <c r="V345" s="148"/>
      <c r="W345" s="117">
        <f>IF(W342&lt;0%,(W344-($S$38-W344)),$S$38)</f>
        <v>5</v>
      </c>
      <c r="X345" s="130"/>
      <c r="Y345" s="130">
        <v>-19</v>
      </c>
      <c r="Z345" s="64">
        <v>1</v>
      </c>
      <c r="AA345" s="99"/>
      <c r="AC345" s="147"/>
      <c r="AD345" s="148"/>
      <c r="AE345" s="64"/>
      <c r="AF345" s="130"/>
      <c r="AG345" s="130"/>
      <c r="AH345" s="130"/>
      <c r="AI345" s="130"/>
      <c r="AJ345" s="63"/>
      <c r="AL345" s="129"/>
      <c r="AM345" s="61"/>
      <c r="AN345" s="148" t="s">
        <v>714</v>
      </c>
      <c r="AO345" s="148"/>
      <c r="AP345" s="111" t="str">
        <f>IF($S$38-AP339&gt;(ABS(0-AP339)),"LOW","HIGH")</f>
        <v>HIGH</v>
      </c>
      <c r="AQ345" s="61"/>
      <c r="AR345" s="61"/>
      <c r="AS345" s="61"/>
      <c r="AT345" s="61"/>
      <c r="AU345" s="61"/>
      <c r="AV345" s="61"/>
      <c r="AW345" s="80"/>
      <c r="BM345" s="147" t="s">
        <v>986</v>
      </c>
      <c r="BN345" s="148"/>
      <c r="BO345" s="64">
        <f>VLOOKUP(G21,BS306:BT336,2,FALSE)</f>
        <v>0.45</v>
      </c>
      <c r="BP345" s="77">
        <v>3.9E-2</v>
      </c>
      <c r="BQ345" s="75">
        <v>-0.05</v>
      </c>
      <c r="BR345" s="75"/>
      <c r="BS345" s="61"/>
      <c r="BT345" s="61"/>
      <c r="BU345" s="61"/>
      <c r="BV345" s="80"/>
      <c r="BX345" s="133">
        <v>12.5</v>
      </c>
      <c r="BY345" s="133">
        <v>30</v>
      </c>
      <c r="BZ345" s="133">
        <v>375</v>
      </c>
      <c r="CA345" s="133">
        <v>90</v>
      </c>
      <c r="CB345" s="133" t="s">
        <v>404</v>
      </c>
      <c r="CC345" s="57" t="s">
        <v>63</v>
      </c>
      <c r="CD345" s="57">
        <v>-12</v>
      </c>
    </row>
    <row r="346" spans="17:82" x14ac:dyDescent="0.25">
      <c r="Q346" s="138">
        <f t="shared" si="13"/>
        <v>0</v>
      </c>
      <c r="R346" s="133">
        <v>0.625</v>
      </c>
      <c r="S346" s="138">
        <f t="shared" si="14"/>
        <v>0.625</v>
      </c>
      <c r="U346" s="147" t="s">
        <v>808</v>
      </c>
      <c r="V346" s="148"/>
      <c r="W346" s="117">
        <f>IF(W342&lt;0%,((W344-((W344-W345)*ABS(W342)))),((W344+((W345-W344)*ABS(W342)))))</f>
        <v>2.5</v>
      </c>
      <c r="X346" s="130"/>
      <c r="Y346" s="130">
        <v>-18</v>
      </c>
      <c r="Z346" s="64">
        <v>1</v>
      </c>
      <c r="AA346" s="99"/>
      <c r="AC346" s="147"/>
      <c r="AD346" s="148"/>
      <c r="AE346" s="117"/>
      <c r="AF346" s="130"/>
      <c r="AG346" s="130"/>
      <c r="AH346" s="130"/>
      <c r="AI346" s="130"/>
      <c r="AJ346" s="63"/>
      <c r="AL346" s="129"/>
      <c r="AM346" s="61"/>
      <c r="AN346" s="148" t="s">
        <v>807</v>
      </c>
      <c r="AO346" s="148"/>
      <c r="AP346" s="117">
        <f>IF(AP345="HIGH",AP341,AP344)</f>
        <v>2.40625</v>
      </c>
      <c r="AQ346" s="61"/>
      <c r="AR346" s="61"/>
      <c r="AS346" s="61"/>
      <c r="AT346" s="61"/>
      <c r="AU346" s="61"/>
      <c r="AV346" s="61"/>
      <c r="AW346" s="80"/>
      <c r="BM346" s="147" t="s">
        <v>729</v>
      </c>
      <c r="BN346" s="148"/>
      <c r="BO346" s="64">
        <f>((BO343*0.3)+(BO344*0.3)+(BO345*0.4))</f>
        <v>0.48</v>
      </c>
      <c r="BP346" s="77">
        <v>0.04</v>
      </c>
      <c r="BQ346" s="75">
        <v>0</v>
      </c>
      <c r="BR346" s="75"/>
      <c r="BS346" s="61"/>
      <c r="BT346" s="61"/>
      <c r="BU346" s="61"/>
      <c r="BV346" s="80"/>
      <c r="BX346" s="133">
        <v>13</v>
      </c>
      <c r="BY346" s="133">
        <v>35</v>
      </c>
      <c r="BZ346" s="133">
        <v>375</v>
      </c>
      <c r="CA346" s="133">
        <v>90</v>
      </c>
      <c r="CB346" s="133" t="s">
        <v>405</v>
      </c>
      <c r="CC346" s="57" t="s">
        <v>63</v>
      </c>
      <c r="CD346" s="57">
        <v>-11</v>
      </c>
    </row>
    <row r="347" spans="17:82" x14ac:dyDescent="0.25">
      <c r="Q347" s="138">
        <f t="shared" si="13"/>
        <v>0.125</v>
      </c>
      <c r="R347" s="138">
        <v>0.75</v>
      </c>
      <c r="S347" s="138">
        <f t="shared" si="14"/>
        <v>0.625</v>
      </c>
      <c r="U347" s="147" t="s">
        <v>811</v>
      </c>
      <c r="V347" s="148"/>
      <c r="W347" s="117">
        <f>0+($S$38*W343)</f>
        <v>2.5</v>
      </c>
      <c r="X347" s="130"/>
      <c r="Y347" s="130">
        <v>-17</v>
      </c>
      <c r="Z347" s="64">
        <v>1</v>
      </c>
      <c r="AA347" s="99"/>
      <c r="AC347" s="147"/>
      <c r="AD347" s="148"/>
      <c r="AE347" s="117"/>
      <c r="AF347" s="130"/>
      <c r="AG347" s="130"/>
      <c r="AH347" s="130"/>
      <c r="AI347" s="130"/>
      <c r="AJ347" s="63"/>
      <c r="AL347" s="129"/>
      <c r="AM347" s="61"/>
      <c r="AN347" s="148"/>
      <c r="AO347" s="148"/>
      <c r="AP347" s="117"/>
      <c r="AQ347" s="61"/>
      <c r="AR347" s="61"/>
      <c r="AS347" s="61"/>
      <c r="AT347" s="61"/>
      <c r="AU347" s="61"/>
      <c r="AV347" s="61"/>
      <c r="AW347" s="80"/>
      <c r="BM347" s="147" t="s">
        <v>806</v>
      </c>
      <c r="BN347" s="148"/>
      <c r="BO347" s="64">
        <f>(VLOOKUP($G$15,$BB$306:$BC$308,2,FALSE)*0.5)+(VLOOKUP($G$16,$BD$306:$BE$310,2,FALSE)*0.5)</f>
        <v>0.5</v>
      </c>
      <c r="BP347" s="77">
        <v>4.1000000000000002E-2</v>
      </c>
      <c r="BQ347" s="75">
        <v>2.5000000000000001E-2</v>
      </c>
      <c r="BR347" s="75"/>
      <c r="BS347" s="61"/>
      <c r="BT347" s="61"/>
      <c r="BU347" s="61"/>
      <c r="BV347" s="80"/>
      <c r="BX347" s="133">
        <v>13.5</v>
      </c>
      <c r="BY347" s="133">
        <v>40</v>
      </c>
      <c r="BZ347" s="133">
        <v>375</v>
      </c>
      <c r="CA347" s="133">
        <v>90</v>
      </c>
      <c r="CB347" s="133" t="s">
        <v>406</v>
      </c>
      <c r="CC347" s="57" t="s">
        <v>63</v>
      </c>
      <c r="CD347" s="57">
        <v>-10</v>
      </c>
    </row>
    <row r="348" spans="17:82" x14ac:dyDescent="0.25">
      <c r="Q348" s="138">
        <f t="shared" si="13"/>
        <v>0.25</v>
      </c>
      <c r="R348" s="133">
        <v>0.875</v>
      </c>
      <c r="S348" s="138">
        <f t="shared" si="14"/>
        <v>0.625</v>
      </c>
      <c r="U348" s="147" t="s">
        <v>809</v>
      </c>
      <c r="V348" s="148"/>
      <c r="W348" s="117">
        <f>IF(W342&lt;0%,(W344-((W344-0))),((W344*2)))</f>
        <v>5</v>
      </c>
      <c r="X348" s="130"/>
      <c r="Y348" s="130">
        <v>-16</v>
      </c>
      <c r="Z348" s="64">
        <v>1</v>
      </c>
      <c r="AA348" s="99"/>
      <c r="AC348" s="147"/>
      <c r="AD348" s="148"/>
      <c r="AE348" s="130"/>
      <c r="AF348" s="130"/>
      <c r="AG348" s="130"/>
      <c r="AH348" s="130"/>
      <c r="AI348" s="130"/>
      <c r="AJ348" s="63"/>
      <c r="AL348" s="129"/>
      <c r="AM348" s="61"/>
      <c r="AN348" s="148"/>
      <c r="AO348" s="148"/>
      <c r="AP348" s="117"/>
      <c r="AQ348" s="61"/>
      <c r="AR348" s="61"/>
      <c r="AS348" s="61"/>
      <c r="AT348" s="61"/>
      <c r="AU348" s="61"/>
      <c r="AV348" s="61"/>
      <c r="AW348" s="80"/>
      <c r="BM348" s="147" t="s">
        <v>812</v>
      </c>
      <c r="BN348" s="148"/>
      <c r="BO348" s="111">
        <f>0+($S$38*BO347)</f>
        <v>2.5</v>
      </c>
      <c r="BP348" s="77">
        <v>4.2000000000000003E-2</v>
      </c>
      <c r="BQ348" s="75">
        <v>0.05</v>
      </c>
      <c r="BR348" s="75"/>
      <c r="BS348" s="61"/>
      <c r="BT348" s="61"/>
      <c r="BU348" s="61"/>
      <c r="BV348" s="80"/>
      <c r="BX348" s="133">
        <v>14</v>
      </c>
      <c r="BY348" s="133">
        <v>45</v>
      </c>
      <c r="BZ348" s="133">
        <v>375</v>
      </c>
      <c r="CA348" s="133">
        <v>90</v>
      </c>
      <c r="CB348" s="133" t="s">
        <v>407</v>
      </c>
      <c r="CC348" s="57" t="s">
        <v>62</v>
      </c>
      <c r="CD348" s="57">
        <v>-9</v>
      </c>
    </row>
    <row r="349" spans="17:82" x14ac:dyDescent="0.25">
      <c r="Q349" s="138">
        <f t="shared" si="13"/>
        <v>0.375</v>
      </c>
      <c r="R349" s="138">
        <v>1</v>
      </c>
      <c r="S349" s="138">
        <f t="shared" si="14"/>
        <v>0.625</v>
      </c>
      <c r="U349" s="147" t="s">
        <v>813</v>
      </c>
      <c r="V349" s="148"/>
      <c r="W349" s="117">
        <f>IF(W342&lt;0%,((W347-((W347-W348)*ABS(W342)))),((W347+((W348-W347)*ABS(W342)))))</f>
        <v>2.5</v>
      </c>
      <c r="X349" s="130"/>
      <c r="Y349" s="130">
        <v>-15</v>
      </c>
      <c r="Z349" s="64">
        <v>1</v>
      </c>
      <c r="AA349" s="99"/>
      <c r="AC349" s="147"/>
      <c r="AD349" s="148"/>
      <c r="AE349" s="64"/>
      <c r="AF349" s="130"/>
      <c r="AG349" s="130"/>
      <c r="AH349" s="130"/>
      <c r="AI349" s="130"/>
      <c r="AJ349" s="63"/>
      <c r="AL349" s="129"/>
      <c r="AM349" s="61"/>
      <c r="AN349" s="148"/>
      <c r="AO349" s="148"/>
      <c r="AP349" s="130"/>
      <c r="AQ349" s="61"/>
      <c r="AR349" s="61"/>
      <c r="AS349" s="61"/>
      <c r="AT349" s="61"/>
      <c r="AU349" s="61"/>
      <c r="AV349" s="61"/>
      <c r="AW349" s="80"/>
      <c r="BM349" s="147" t="s">
        <v>810</v>
      </c>
      <c r="BN349" s="148"/>
      <c r="BO349" s="117">
        <f>IF(BO346&lt;0%,(BO348-($S$38-BO348)),$S$38)</f>
        <v>5</v>
      </c>
      <c r="BP349" s="77">
        <v>4.2999999999999997E-2</v>
      </c>
      <c r="BQ349" s="75">
        <v>7.4999999999999997E-2</v>
      </c>
      <c r="BR349" s="75"/>
      <c r="BS349" s="61"/>
      <c r="BT349" s="61"/>
      <c r="BU349" s="61"/>
      <c r="BV349" s="80"/>
      <c r="BX349" s="133">
        <v>14.5</v>
      </c>
      <c r="BY349" s="133">
        <v>50</v>
      </c>
      <c r="BZ349" s="133">
        <v>375</v>
      </c>
      <c r="CA349" s="133">
        <v>90</v>
      </c>
      <c r="CB349" s="133" t="s">
        <v>408</v>
      </c>
      <c r="CC349" s="57" t="s">
        <v>62</v>
      </c>
      <c r="CD349" s="57">
        <v>-8</v>
      </c>
    </row>
    <row r="350" spans="17:82" x14ac:dyDescent="0.25">
      <c r="Q350" s="138">
        <f>MIN(Q341:Q349)</f>
        <v>0</v>
      </c>
      <c r="R350" s="133"/>
      <c r="S350" s="133"/>
      <c r="U350" s="147" t="s">
        <v>714</v>
      </c>
      <c r="V350" s="148"/>
      <c r="W350" s="111" t="str">
        <f>IF($S$38-W344&gt;(ABS(0-W344)),"LOW","HIGH")</f>
        <v>HIGH</v>
      </c>
      <c r="X350" s="130"/>
      <c r="Y350" s="130">
        <v>-14</v>
      </c>
      <c r="Z350" s="64">
        <v>1</v>
      </c>
      <c r="AA350" s="99"/>
      <c r="AC350" s="147"/>
      <c r="AD350" s="148"/>
      <c r="AE350" s="130"/>
      <c r="AF350" s="130"/>
      <c r="AG350" s="130"/>
      <c r="AH350" s="130"/>
      <c r="AI350" s="130"/>
      <c r="AJ350" s="63"/>
      <c r="AL350" s="129"/>
      <c r="AM350" s="61"/>
      <c r="AN350" s="148"/>
      <c r="AO350" s="148"/>
      <c r="AP350" s="64"/>
      <c r="AQ350" s="61"/>
      <c r="AR350" s="61"/>
      <c r="AS350" s="61"/>
      <c r="AT350" s="61"/>
      <c r="AU350" s="61"/>
      <c r="AV350" s="61"/>
      <c r="AW350" s="80"/>
      <c r="BM350" s="147" t="s">
        <v>808</v>
      </c>
      <c r="BN350" s="148"/>
      <c r="BO350" s="117">
        <f>IF(BO346&lt;0%,((BO348-((BO348-BO349)*ABS(BO346)))),((BO348+((BO349-BO348)*ABS(BO346)))))</f>
        <v>3.7</v>
      </c>
      <c r="BP350" s="77">
        <v>4.3999999999999997E-2</v>
      </c>
      <c r="BQ350" s="75">
        <v>0.1</v>
      </c>
      <c r="BR350" s="75"/>
      <c r="BS350" s="61"/>
      <c r="BT350" s="61"/>
      <c r="BU350" s="61"/>
      <c r="BV350" s="80"/>
      <c r="BX350" s="133">
        <v>15</v>
      </c>
      <c r="BY350" s="133">
        <v>55</v>
      </c>
      <c r="BZ350" s="133">
        <v>375</v>
      </c>
      <c r="CA350" s="133">
        <v>90</v>
      </c>
      <c r="CB350" s="133" t="s">
        <v>409</v>
      </c>
      <c r="CC350" s="57" t="s">
        <v>62</v>
      </c>
      <c r="CD350" s="57">
        <v>-7</v>
      </c>
    </row>
    <row r="351" spans="17:82" x14ac:dyDescent="0.25">
      <c r="Q351" s="133" t="s">
        <v>749</v>
      </c>
      <c r="R351" s="133"/>
      <c r="S351" s="133"/>
      <c r="U351" s="147" t="s">
        <v>807</v>
      </c>
      <c r="V351" s="148"/>
      <c r="W351" s="117">
        <f>IF(W350="HIGH",W346,W349)</f>
        <v>2.5</v>
      </c>
      <c r="X351" s="130"/>
      <c r="Y351" s="130">
        <v>-13</v>
      </c>
      <c r="Z351" s="64">
        <v>0.97499999999999998</v>
      </c>
      <c r="AA351" s="99"/>
      <c r="AC351" s="123"/>
      <c r="AD351" s="130"/>
      <c r="AE351" s="130"/>
      <c r="AF351" s="130"/>
      <c r="AG351" s="130"/>
      <c r="AH351" s="130"/>
      <c r="AI351" s="130"/>
      <c r="AJ351" s="63"/>
      <c r="AL351" s="129"/>
      <c r="AM351" s="61"/>
      <c r="AN351" s="148"/>
      <c r="AO351" s="148"/>
      <c r="AP351" s="117"/>
      <c r="AQ351" s="61"/>
      <c r="AR351" s="61"/>
      <c r="AS351" s="61"/>
      <c r="AT351" s="61"/>
      <c r="AU351" s="61"/>
      <c r="AV351" s="61"/>
      <c r="AW351" s="80"/>
      <c r="BM351" s="147" t="s">
        <v>811</v>
      </c>
      <c r="BN351" s="148"/>
      <c r="BO351" s="117">
        <f>0+($S$38*BO347)</f>
        <v>2.5</v>
      </c>
      <c r="BP351" s="77">
        <v>4.4999999999999998E-2</v>
      </c>
      <c r="BQ351" s="75">
        <v>0.125</v>
      </c>
      <c r="BR351" s="75"/>
      <c r="BS351" s="61"/>
      <c r="BT351" s="61"/>
      <c r="BU351" s="61"/>
      <c r="BV351" s="80"/>
      <c r="BX351" s="133">
        <v>15.5</v>
      </c>
      <c r="BY351" s="133">
        <v>60</v>
      </c>
      <c r="BZ351" s="133">
        <v>375</v>
      </c>
      <c r="CA351" s="133">
        <v>90</v>
      </c>
      <c r="CB351" s="133" t="s">
        <v>410</v>
      </c>
      <c r="CC351" s="57" t="s">
        <v>61</v>
      </c>
      <c r="CD351" s="57">
        <v>-6</v>
      </c>
    </row>
    <row r="352" spans="17:82" x14ac:dyDescent="0.25">
      <c r="U352" s="147"/>
      <c r="V352" s="148"/>
      <c r="W352" s="117"/>
      <c r="X352" s="130"/>
      <c r="Y352" s="130">
        <v>-12</v>
      </c>
      <c r="Z352" s="64">
        <v>0.9</v>
      </c>
      <c r="AA352" s="99"/>
      <c r="AC352" s="123"/>
      <c r="AD352" s="130"/>
      <c r="AE352" s="130"/>
      <c r="AF352" s="130"/>
      <c r="AG352" s="130"/>
      <c r="AH352" s="130"/>
      <c r="AI352" s="130"/>
      <c r="AJ352" s="63"/>
      <c r="AL352" s="129"/>
      <c r="AM352" s="61"/>
      <c r="AN352" s="148"/>
      <c r="AO352" s="148"/>
      <c r="AP352" s="117"/>
      <c r="AQ352" s="61"/>
      <c r="AR352" s="61"/>
      <c r="AS352" s="61"/>
      <c r="AT352" s="61"/>
      <c r="AU352" s="61"/>
      <c r="AV352" s="61"/>
      <c r="AW352" s="80"/>
      <c r="BM352" s="147" t="s">
        <v>809</v>
      </c>
      <c r="BN352" s="148"/>
      <c r="BO352" s="117">
        <f>IF(BO346&lt;0%,(BO348-((BO348-0))),((BO348*2)))</f>
        <v>5</v>
      </c>
      <c r="BP352" s="77">
        <v>4.5999999999999999E-2</v>
      </c>
      <c r="BQ352" s="75">
        <v>0.15</v>
      </c>
      <c r="BR352" s="75"/>
      <c r="BS352" s="61"/>
      <c r="BT352" s="61"/>
      <c r="BU352" s="61"/>
      <c r="BV352" s="80"/>
      <c r="BX352" s="133">
        <v>16</v>
      </c>
      <c r="BY352" s="133">
        <v>65</v>
      </c>
      <c r="BZ352" s="133">
        <v>375</v>
      </c>
      <c r="CA352" s="133">
        <v>90</v>
      </c>
      <c r="CB352" s="133" t="s">
        <v>411</v>
      </c>
      <c r="CC352" s="57" t="s">
        <v>61</v>
      </c>
      <c r="CD352" s="57">
        <v>-5</v>
      </c>
    </row>
    <row r="353" spans="21:82" x14ac:dyDescent="0.25">
      <c r="U353" s="147"/>
      <c r="V353" s="148"/>
      <c r="W353" s="130"/>
      <c r="X353" s="130"/>
      <c r="Y353" s="130">
        <v>-11</v>
      </c>
      <c r="Z353" s="64">
        <v>0.82499999999999996</v>
      </c>
      <c r="AA353" s="99"/>
      <c r="AC353" s="123"/>
      <c r="AD353" s="130"/>
      <c r="AE353" s="130"/>
      <c r="AF353" s="130"/>
      <c r="AG353" s="130"/>
      <c r="AH353" s="130"/>
      <c r="AI353" s="130"/>
      <c r="AJ353" s="63"/>
      <c r="AL353" s="129"/>
      <c r="AM353" s="61"/>
      <c r="AN353" s="148"/>
      <c r="AO353" s="148"/>
      <c r="AP353" s="130"/>
      <c r="AQ353" s="61"/>
      <c r="AR353" s="61"/>
      <c r="AS353" s="61"/>
      <c r="AT353" s="61"/>
      <c r="AU353" s="61"/>
      <c r="AV353" s="61"/>
      <c r="AW353" s="80"/>
      <c r="BM353" s="147" t="s">
        <v>813</v>
      </c>
      <c r="BN353" s="148"/>
      <c r="BO353" s="117">
        <f>IF(BO346&lt;0%,((BO351-((BO351-BO352)*ABS(BO346)))),((BO351+((BO352-BO351)*ABS(BO346)))))</f>
        <v>3.7</v>
      </c>
      <c r="BP353" s="77">
        <v>4.7E-2</v>
      </c>
      <c r="BQ353" s="75">
        <v>0.17499999999999999</v>
      </c>
      <c r="BR353" s="75"/>
      <c r="BS353" s="61"/>
      <c r="BT353" s="61"/>
      <c r="BU353" s="61"/>
      <c r="BV353" s="80"/>
      <c r="BX353" s="133">
        <v>16.5</v>
      </c>
      <c r="BY353" s="133">
        <v>70</v>
      </c>
      <c r="BZ353" s="133">
        <v>375</v>
      </c>
      <c r="CA353" s="133">
        <v>90</v>
      </c>
      <c r="CB353" s="133" t="s">
        <v>412</v>
      </c>
      <c r="CC353" s="57" t="s">
        <v>61</v>
      </c>
      <c r="CD353" s="57">
        <v>-4</v>
      </c>
    </row>
    <row r="354" spans="21:82" x14ac:dyDescent="0.25">
      <c r="U354" s="147"/>
      <c r="V354" s="148"/>
      <c r="W354" s="64"/>
      <c r="X354" s="130"/>
      <c r="Y354" s="130">
        <v>-10</v>
      </c>
      <c r="Z354" s="64">
        <v>0.75</v>
      </c>
      <c r="AA354" s="99"/>
      <c r="AC354" s="123"/>
      <c r="AD354" s="130"/>
      <c r="AE354" s="130"/>
      <c r="AF354" s="130"/>
      <c r="AG354" s="130"/>
      <c r="AH354" s="130"/>
      <c r="AI354" s="130"/>
      <c r="AJ354" s="63"/>
      <c r="AL354" s="129"/>
      <c r="AM354" s="61"/>
      <c r="AN354" s="148"/>
      <c r="AO354" s="148"/>
      <c r="AP354" s="64"/>
      <c r="AQ354" s="61"/>
      <c r="AR354" s="61"/>
      <c r="AS354" s="61"/>
      <c r="AT354" s="61"/>
      <c r="AU354" s="61"/>
      <c r="AV354" s="61"/>
      <c r="AW354" s="80"/>
      <c r="BM354" s="147" t="s">
        <v>714</v>
      </c>
      <c r="BN354" s="148"/>
      <c r="BO354" s="111" t="str">
        <f>IF($S$38-BO348&gt;(ABS(0-BO348)),"LOW","HIGH")</f>
        <v>HIGH</v>
      </c>
      <c r="BP354" s="77">
        <v>4.8000000000000001E-2</v>
      </c>
      <c r="BQ354" s="75">
        <v>0.2</v>
      </c>
      <c r="BR354" s="75"/>
      <c r="BS354" s="61"/>
      <c r="BT354" s="61"/>
      <c r="BU354" s="61"/>
      <c r="BV354" s="80"/>
      <c r="BX354" s="133">
        <v>17</v>
      </c>
      <c r="BY354" s="133">
        <v>75</v>
      </c>
      <c r="BZ354" s="133">
        <v>375</v>
      </c>
      <c r="CA354" s="133">
        <v>90</v>
      </c>
      <c r="CB354" s="133" t="s">
        <v>413</v>
      </c>
      <c r="CC354" s="57" t="s">
        <v>60</v>
      </c>
      <c r="CD354" s="57">
        <v>-3</v>
      </c>
    </row>
    <row r="355" spans="21:82" x14ac:dyDescent="0.25">
      <c r="U355" s="147"/>
      <c r="V355" s="148"/>
      <c r="W355" s="117"/>
      <c r="X355" s="130" t="s">
        <v>62</v>
      </c>
      <c r="Y355" s="130">
        <v>-9</v>
      </c>
      <c r="Z355" s="64">
        <v>0.67500000000000004</v>
      </c>
      <c r="AA355" s="99"/>
      <c r="AC355" s="123"/>
      <c r="AD355" s="130"/>
      <c r="AE355" s="130"/>
      <c r="AF355" s="130"/>
      <c r="AG355" s="130"/>
      <c r="AH355" s="130"/>
      <c r="AI355" s="130"/>
      <c r="AJ355" s="63"/>
      <c r="AL355" s="129"/>
      <c r="AM355" s="61"/>
      <c r="AN355" s="148"/>
      <c r="AO355" s="148"/>
      <c r="AP355" s="117"/>
      <c r="AQ355" s="61"/>
      <c r="AR355" s="61"/>
      <c r="AS355" s="61"/>
      <c r="AT355" s="61"/>
      <c r="AU355" s="61"/>
      <c r="AV355" s="61"/>
      <c r="AW355" s="80"/>
      <c r="BM355" s="147" t="s">
        <v>807</v>
      </c>
      <c r="BN355" s="148"/>
      <c r="BO355" s="117">
        <f>IF(BO354="HIGH",BO350,BO353)</f>
        <v>3.7</v>
      </c>
      <c r="BP355" s="77">
        <v>4.9000000000000002E-2</v>
      </c>
      <c r="BQ355" s="75">
        <v>0.22500000000000001</v>
      </c>
      <c r="BR355" s="75"/>
      <c r="BS355" s="61"/>
      <c r="BT355" s="61"/>
      <c r="BU355" s="61"/>
      <c r="BV355" s="80"/>
      <c r="BX355" s="133">
        <v>17.5</v>
      </c>
      <c r="BY355" s="133">
        <v>80</v>
      </c>
      <c r="BZ355" s="133">
        <v>375</v>
      </c>
      <c r="CA355" s="133">
        <v>90</v>
      </c>
      <c r="CB355" s="133" t="s">
        <v>414</v>
      </c>
      <c r="CC355" s="57" t="s">
        <v>60</v>
      </c>
      <c r="CD355" s="57">
        <v>-2</v>
      </c>
    </row>
    <row r="356" spans="21:82" ht="15.75" thickBot="1" x14ac:dyDescent="0.3">
      <c r="U356" s="147"/>
      <c r="V356" s="148"/>
      <c r="W356" s="117"/>
      <c r="X356" s="130"/>
      <c r="Y356" s="130">
        <v>-8</v>
      </c>
      <c r="Z356" s="64">
        <v>0.6</v>
      </c>
      <c r="AA356" s="99"/>
      <c r="AC356" s="131"/>
      <c r="AD356" s="132"/>
      <c r="AE356" s="132"/>
      <c r="AF356" s="132"/>
      <c r="AG356" s="132"/>
      <c r="AH356" s="132"/>
      <c r="AI356" s="132"/>
      <c r="AJ356" s="118"/>
      <c r="AL356" s="129"/>
      <c r="AM356" s="61"/>
      <c r="AN356" s="148"/>
      <c r="AO356" s="148"/>
      <c r="AP356" s="117"/>
      <c r="AQ356" s="61"/>
      <c r="AR356" s="61"/>
      <c r="AS356" s="61"/>
      <c r="AT356" s="61"/>
      <c r="AU356" s="61"/>
      <c r="AV356" s="61"/>
      <c r="AW356" s="80"/>
      <c r="BM356" s="147"/>
      <c r="BN356" s="148"/>
      <c r="BO356" s="117"/>
      <c r="BP356" s="77">
        <v>0.05</v>
      </c>
      <c r="BQ356" s="75">
        <v>0.25</v>
      </c>
      <c r="BR356" s="75"/>
      <c r="BS356" s="61"/>
      <c r="BT356" s="61"/>
      <c r="BU356" s="61"/>
      <c r="BV356" s="80"/>
      <c r="BX356" s="133">
        <v>18</v>
      </c>
      <c r="BY356" s="133">
        <v>85</v>
      </c>
      <c r="BZ356" s="133">
        <v>375</v>
      </c>
      <c r="CA356" s="133">
        <v>90</v>
      </c>
      <c r="CB356" s="133" t="s">
        <v>415</v>
      </c>
      <c r="CC356" s="57" t="s">
        <v>60</v>
      </c>
      <c r="CD356" s="57">
        <v>-1</v>
      </c>
    </row>
    <row r="357" spans="21:82" x14ac:dyDescent="0.25">
      <c r="U357" s="147"/>
      <c r="V357" s="148"/>
      <c r="W357" s="130"/>
      <c r="X357" s="130"/>
      <c r="Y357" s="130">
        <v>-7</v>
      </c>
      <c r="Z357" s="64">
        <v>0.52500000000000002</v>
      </c>
      <c r="AA357" s="63"/>
      <c r="AL357" s="129"/>
      <c r="AM357" s="61"/>
      <c r="AN357" s="148"/>
      <c r="AO357" s="148"/>
      <c r="AP357" s="130"/>
      <c r="AQ357" s="61"/>
      <c r="AR357" s="61"/>
      <c r="AS357" s="61"/>
      <c r="AT357" s="61"/>
      <c r="AU357" s="61"/>
      <c r="AV357" s="61"/>
      <c r="AW357" s="80"/>
      <c r="BM357" s="147"/>
      <c r="BN357" s="148"/>
      <c r="BO357" s="117"/>
      <c r="BP357" s="77">
        <v>5.0999999999999997E-2</v>
      </c>
      <c r="BQ357" s="75">
        <v>0.27500000000000002</v>
      </c>
      <c r="BR357" s="75"/>
      <c r="BS357" s="61"/>
      <c r="BT357" s="61"/>
      <c r="BU357" s="61"/>
      <c r="BV357" s="80"/>
      <c r="BX357" s="133">
        <v>18.5</v>
      </c>
      <c r="BY357" s="133">
        <v>90</v>
      </c>
      <c r="BZ357" s="133">
        <v>375</v>
      </c>
      <c r="CA357" s="133">
        <v>90</v>
      </c>
      <c r="CB357" s="133" t="s">
        <v>416</v>
      </c>
      <c r="CC357" s="57" t="s">
        <v>54</v>
      </c>
      <c r="CD357" s="57">
        <v>0</v>
      </c>
    </row>
    <row r="358" spans="21:82" x14ac:dyDescent="0.25">
      <c r="U358" s="147"/>
      <c r="V358" s="148"/>
      <c r="W358" s="64"/>
      <c r="X358" s="130"/>
      <c r="Y358" s="130">
        <v>-6</v>
      </c>
      <c r="Z358" s="64">
        <v>0.45</v>
      </c>
      <c r="AA358" s="63"/>
      <c r="AL358" s="129"/>
      <c r="AM358" s="61"/>
      <c r="AN358" s="148"/>
      <c r="AO358" s="148"/>
      <c r="AP358" s="64"/>
      <c r="AQ358" s="61"/>
      <c r="AR358" s="61"/>
      <c r="AS358" s="61"/>
      <c r="AT358" s="61"/>
      <c r="AU358" s="61"/>
      <c r="AV358" s="61"/>
      <c r="AW358" s="80"/>
      <c r="BM358" s="147"/>
      <c r="BN358" s="148"/>
      <c r="BO358" s="130"/>
      <c r="BP358" s="77">
        <v>5.1999999999999998E-2</v>
      </c>
      <c r="BQ358" s="75">
        <v>0.3</v>
      </c>
      <c r="BR358" s="75"/>
      <c r="BS358" s="61"/>
      <c r="BT358" s="61"/>
      <c r="BU358" s="61"/>
      <c r="BV358" s="80"/>
      <c r="BX358" s="133">
        <v>19</v>
      </c>
      <c r="BY358" s="133">
        <v>95</v>
      </c>
      <c r="BZ358" s="133">
        <v>375</v>
      </c>
      <c r="CA358" s="133">
        <v>90</v>
      </c>
      <c r="CB358" s="133" t="s">
        <v>417</v>
      </c>
      <c r="CC358" s="57" t="s">
        <v>55</v>
      </c>
      <c r="CD358" s="57">
        <v>1</v>
      </c>
    </row>
    <row r="359" spans="21:82" x14ac:dyDescent="0.25">
      <c r="U359" s="147"/>
      <c r="V359" s="148"/>
      <c r="W359" s="117"/>
      <c r="X359" s="130" t="s">
        <v>718</v>
      </c>
      <c r="Y359" s="130">
        <v>-5</v>
      </c>
      <c r="Z359" s="64">
        <v>0.375</v>
      </c>
      <c r="AA359" s="63"/>
      <c r="AL359" s="129"/>
      <c r="AM359" s="61"/>
      <c r="AN359" s="148"/>
      <c r="AO359" s="148"/>
      <c r="AP359" s="130"/>
      <c r="AQ359" s="61"/>
      <c r="AR359" s="61"/>
      <c r="AS359" s="61"/>
      <c r="AT359" s="61"/>
      <c r="AU359" s="61"/>
      <c r="AV359" s="61"/>
      <c r="AW359" s="80"/>
      <c r="BM359" s="147"/>
      <c r="BN359" s="148"/>
      <c r="BO359" s="64"/>
      <c r="BP359" s="77">
        <v>5.2999999999999999E-2</v>
      </c>
      <c r="BQ359" s="75">
        <v>0.32500000000000001</v>
      </c>
      <c r="BR359" s="75"/>
      <c r="BS359" s="61"/>
      <c r="BT359" s="61"/>
      <c r="BU359" s="61"/>
      <c r="BV359" s="80"/>
      <c r="BX359" s="133">
        <v>19.5</v>
      </c>
      <c r="BY359" s="133">
        <v>100</v>
      </c>
      <c r="BZ359" s="133">
        <v>375</v>
      </c>
      <c r="CA359" s="133">
        <v>90</v>
      </c>
      <c r="CB359" s="133" t="s">
        <v>418</v>
      </c>
      <c r="CC359" s="57" t="s">
        <v>55</v>
      </c>
      <c r="CD359" s="57">
        <v>2</v>
      </c>
    </row>
    <row r="360" spans="21:82" x14ac:dyDescent="0.25">
      <c r="U360" s="147"/>
      <c r="V360" s="148"/>
      <c r="W360" s="117"/>
      <c r="X360" s="130"/>
      <c r="Y360" s="130">
        <v>-4</v>
      </c>
      <c r="Z360" s="64">
        <v>0.3</v>
      </c>
      <c r="AA360" s="63"/>
      <c r="AL360" s="129"/>
      <c r="AM360" s="61"/>
      <c r="AN360" s="64"/>
      <c r="AO360" s="130"/>
      <c r="AP360" s="130"/>
      <c r="AQ360" s="61"/>
      <c r="AR360" s="61"/>
      <c r="AS360" s="61"/>
      <c r="AT360" s="61"/>
      <c r="AU360" s="61"/>
      <c r="AV360" s="61"/>
      <c r="AW360" s="80"/>
      <c r="BM360" s="147"/>
      <c r="BN360" s="148"/>
      <c r="BO360" s="117"/>
      <c r="BP360" s="77">
        <v>5.3999999999999999E-2</v>
      </c>
      <c r="BQ360" s="75">
        <v>0.35</v>
      </c>
      <c r="BR360" s="75"/>
      <c r="BS360" s="61"/>
      <c r="BT360" s="61"/>
      <c r="BU360" s="61"/>
      <c r="BV360" s="80"/>
      <c r="BX360" s="133">
        <v>20</v>
      </c>
      <c r="BY360" s="133">
        <v>105</v>
      </c>
      <c r="BZ360" s="133">
        <v>375</v>
      </c>
      <c r="CA360" s="133">
        <v>90</v>
      </c>
      <c r="CB360" s="133" t="s">
        <v>419</v>
      </c>
      <c r="CC360" s="57" t="s">
        <v>55</v>
      </c>
      <c r="CD360" s="57">
        <v>3</v>
      </c>
    </row>
    <row r="361" spans="21:82" x14ac:dyDescent="0.25">
      <c r="U361" s="147"/>
      <c r="V361" s="148"/>
      <c r="W361" s="130"/>
      <c r="X361" s="130"/>
      <c r="Y361" s="130">
        <v>-3</v>
      </c>
      <c r="Z361" s="64">
        <v>0.22500000000000001</v>
      </c>
      <c r="AA361" s="63"/>
      <c r="AL361" s="129"/>
      <c r="AM361" s="61"/>
      <c r="AN361" s="64"/>
      <c r="AO361" s="130"/>
      <c r="AP361" s="130"/>
      <c r="AQ361" s="61"/>
      <c r="AR361" s="61"/>
      <c r="AS361" s="61"/>
      <c r="AT361" s="61"/>
      <c r="AU361" s="61"/>
      <c r="AV361" s="61"/>
      <c r="AW361" s="80"/>
      <c r="BM361" s="147"/>
      <c r="BN361" s="148"/>
      <c r="BO361" s="117"/>
      <c r="BP361" s="77">
        <v>5.5E-2</v>
      </c>
      <c r="BQ361" s="75">
        <v>0.375</v>
      </c>
      <c r="BR361" s="75"/>
      <c r="BS361" s="61"/>
      <c r="BT361" s="61"/>
      <c r="BU361" s="61"/>
      <c r="BV361" s="80"/>
      <c r="BX361" s="133">
        <v>20.5</v>
      </c>
      <c r="BY361" s="133">
        <v>110</v>
      </c>
      <c r="BZ361" s="133">
        <v>375</v>
      </c>
      <c r="CA361" s="133">
        <v>90</v>
      </c>
      <c r="CB361" s="133" t="s">
        <v>420</v>
      </c>
      <c r="CC361" s="57" t="s">
        <v>56</v>
      </c>
      <c r="CD361" s="57">
        <v>4</v>
      </c>
    </row>
    <row r="362" spans="21:82" x14ac:dyDescent="0.25">
      <c r="U362" s="147"/>
      <c r="V362" s="148"/>
      <c r="W362" s="64"/>
      <c r="X362" s="130"/>
      <c r="Y362" s="130">
        <v>-2</v>
      </c>
      <c r="Z362" s="64">
        <v>0.15</v>
      </c>
      <c r="AA362" s="63"/>
      <c r="AL362" s="129"/>
      <c r="AM362" s="61"/>
      <c r="AN362" s="64"/>
      <c r="AO362" s="130"/>
      <c r="AP362" s="130"/>
      <c r="AQ362" s="61"/>
      <c r="AR362" s="61"/>
      <c r="AS362" s="61"/>
      <c r="AT362" s="61"/>
      <c r="AU362" s="61"/>
      <c r="AV362" s="61"/>
      <c r="AW362" s="80"/>
      <c r="BM362" s="147"/>
      <c r="BN362" s="148"/>
      <c r="BO362" s="130"/>
      <c r="BP362" s="77">
        <v>5.6000000000000001E-2</v>
      </c>
      <c r="BQ362" s="75">
        <v>0.4</v>
      </c>
      <c r="BR362" s="75"/>
      <c r="BS362" s="61"/>
      <c r="BT362" s="61"/>
      <c r="BU362" s="61"/>
      <c r="BV362" s="80"/>
      <c r="BX362" s="133">
        <v>21</v>
      </c>
      <c r="BY362" s="133">
        <v>115</v>
      </c>
      <c r="BZ362" s="133">
        <v>375</v>
      </c>
      <c r="CA362" s="133">
        <v>90</v>
      </c>
      <c r="CB362" s="133" t="s">
        <v>421</v>
      </c>
      <c r="CC362" s="57" t="s">
        <v>56</v>
      </c>
      <c r="CD362" s="57">
        <v>5</v>
      </c>
    </row>
    <row r="363" spans="21:82" x14ac:dyDescent="0.25">
      <c r="U363" s="147"/>
      <c r="V363" s="148"/>
      <c r="W363" s="117"/>
      <c r="X363" s="130"/>
      <c r="Y363" s="130">
        <v>-1</v>
      </c>
      <c r="Z363" s="64">
        <v>7.4999999999999997E-2</v>
      </c>
      <c r="AA363" s="63"/>
      <c r="AL363" s="129"/>
      <c r="AM363" s="61"/>
      <c r="AN363" s="64"/>
      <c r="AO363" s="130"/>
      <c r="AP363" s="130"/>
      <c r="AQ363" s="61"/>
      <c r="AR363" s="61"/>
      <c r="AS363" s="61"/>
      <c r="AT363" s="61"/>
      <c r="AU363" s="61"/>
      <c r="AV363" s="61"/>
      <c r="AW363" s="80"/>
      <c r="BM363" s="147"/>
      <c r="BN363" s="148"/>
      <c r="BO363" s="64"/>
      <c r="BP363" s="77">
        <v>5.7000000000000002E-2</v>
      </c>
      <c r="BQ363" s="75">
        <v>0.42499999999999999</v>
      </c>
      <c r="BR363" s="75"/>
      <c r="BS363" s="61"/>
      <c r="BT363" s="61"/>
      <c r="BU363" s="61"/>
      <c r="BV363" s="80"/>
      <c r="BX363" s="133">
        <v>21.5</v>
      </c>
      <c r="BY363" s="133">
        <v>120</v>
      </c>
      <c r="BZ363" s="133">
        <v>375</v>
      </c>
      <c r="CA363" s="133">
        <v>90</v>
      </c>
      <c r="CB363" s="133" t="s">
        <v>422</v>
      </c>
      <c r="CC363" s="57" t="s">
        <v>56</v>
      </c>
      <c r="CD363" s="57">
        <v>6</v>
      </c>
    </row>
    <row r="364" spans="21:82" ht="15.75" thickBot="1" x14ac:dyDescent="0.3">
      <c r="U364" s="147"/>
      <c r="V364" s="148"/>
      <c r="W364" s="117"/>
      <c r="X364" s="130" t="s">
        <v>54</v>
      </c>
      <c r="Y364" s="130">
        <v>0</v>
      </c>
      <c r="Z364" s="64">
        <v>0</v>
      </c>
      <c r="AA364" s="63"/>
      <c r="AL364" s="131"/>
      <c r="AM364" s="95"/>
      <c r="AN364" s="105"/>
      <c r="AO364" s="132"/>
      <c r="AP364" s="132"/>
      <c r="AQ364" s="95"/>
      <c r="AR364" s="95"/>
      <c r="AS364" s="95"/>
      <c r="AT364" s="95"/>
      <c r="AU364" s="95"/>
      <c r="AV364" s="95"/>
      <c r="AW364" s="96"/>
      <c r="BM364" s="147"/>
      <c r="BN364" s="148"/>
      <c r="BO364" s="117"/>
      <c r="BP364" s="77">
        <v>5.8000000000000003E-2</v>
      </c>
      <c r="BQ364" s="75">
        <v>0.45</v>
      </c>
      <c r="BR364" s="75"/>
      <c r="BS364" s="61"/>
      <c r="BT364" s="61"/>
      <c r="BU364" s="61"/>
      <c r="BV364" s="80"/>
      <c r="BX364" s="133">
        <v>22</v>
      </c>
      <c r="BY364" s="133">
        <v>125</v>
      </c>
      <c r="BZ364" s="133">
        <v>375</v>
      </c>
      <c r="CA364" s="133">
        <v>90</v>
      </c>
      <c r="CB364" s="133" t="s">
        <v>423</v>
      </c>
      <c r="CC364" s="57" t="s">
        <v>57</v>
      </c>
      <c r="CD364" s="57">
        <v>7</v>
      </c>
    </row>
    <row r="365" spans="21:82" x14ac:dyDescent="0.25">
      <c r="U365" s="147"/>
      <c r="V365" s="148"/>
      <c r="W365" s="130"/>
      <c r="X365" s="130"/>
      <c r="Y365" s="130">
        <v>1</v>
      </c>
      <c r="Z365" s="64">
        <v>-7.4999999999999997E-2</v>
      </c>
      <c r="AA365" s="63"/>
      <c r="AL365" s="133"/>
      <c r="BM365" s="147"/>
      <c r="BN365" s="148"/>
      <c r="BO365" s="117"/>
      <c r="BP365" s="77">
        <v>5.8999999999999997E-2</v>
      </c>
      <c r="BQ365" s="75">
        <v>0.47499999999999998</v>
      </c>
      <c r="BR365" s="75"/>
      <c r="BS365" s="61"/>
      <c r="BT365" s="61"/>
      <c r="BU365" s="61"/>
      <c r="BV365" s="80"/>
      <c r="BX365" s="133">
        <v>22.5</v>
      </c>
      <c r="BY365" s="133">
        <v>130</v>
      </c>
      <c r="BZ365" s="133">
        <v>375</v>
      </c>
      <c r="CA365" s="133">
        <v>90</v>
      </c>
      <c r="CB365" s="133" t="s">
        <v>424</v>
      </c>
      <c r="CC365" s="57" t="s">
        <v>57</v>
      </c>
      <c r="CD365" s="57">
        <v>8</v>
      </c>
    </row>
    <row r="366" spans="21:82" x14ac:dyDescent="0.25">
      <c r="U366" s="147"/>
      <c r="V366" s="148"/>
      <c r="W366" s="64"/>
      <c r="X366" s="130"/>
      <c r="Y366" s="130">
        <v>2</v>
      </c>
      <c r="Z366" s="64">
        <v>-0.15</v>
      </c>
      <c r="AA366" s="63"/>
      <c r="AL366" s="133"/>
      <c r="BM366" s="147"/>
      <c r="BN366" s="148"/>
      <c r="BO366" s="130"/>
      <c r="BP366" s="77">
        <v>0.06</v>
      </c>
      <c r="BQ366" s="75">
        <v>0.5</v>
      </c>
      <c r="BR366" s="75"/>
      <c r="BS366" s="61"/>
      <c r="BT366" s="61"/>
      <c r="BU366" s="61"/>
      <c r="BV366" s="80"/>
      <c r="BX366" s="133">
        <v>23</v>
      </c>
      <c r="BY366" s="133">
        <v>135</v>
      </c>
      <c r="BZ366" s="133">
        <v>375</v>
      </c>
      <c r="CA366" s="133">
        <v>90</v>
      </c>
      <c r="CB366" s="133" t="s">
        <v>425</v>
      </c>
      <c r="CC366" s="57" t="s">
        <v>57</v>
      </c>
      <c r="CD366" s="57">
        <v>9</v>
      </c>
    </row>
    <row r="367" spans="21:82" x14ac:dyDescent="0.25">
      <c r="U367" s="147"/>
      <c r="V367" s="148"/>
      <c r="W367" s="130"/>
      <c r="X367" s="130"/>
      <c r="Y367" s="130">
        <v>3</v>
      </c>
      <c r="Z367" s="64">
        <v>-0.22500000000000001</v>
      </c>
      <c r="AA367" s="63"/>
      <c r="AL367" s="133"/>
      <c r="BM367" s="147"/>
      <c r="BN367" s="148"/>
      <c r="BO367" s="64"/>
      <c r="BP367" s="61"/>
      <c r="BQ367" s="61"/>
      <c r="BR367" s="61"/>
      <c r="BS367" s="61"/>
      <c r="BT367" s="61"/>
      <c r="BU367" s="61"/>
      <c r="BV367" s="80"/>
      <c r="BX367" s="133">
        <v>23.5</v>
      </c>
      <c r="BY367" s="133">
        <v>140</v>
      </c>
      <c r="BZ367" s="133">
        <v>375</v>
      </c>
      <c r="CA367" s="133">
        <v>90</v>
      </c>
      <c r="CB367" s="133" t="s">
        <v>426</v>
      </c>
      <c r="CC367" s="57" t="s">
        <v>58</v>
      </c>
      <c r="CD367" s="57">
        <v>10</v>
      </c>
    </row>
    <row r="368" spans="21:82" x14ac:dyDescent="0.25">
      <c r="U368" s="123"/>
      <c r="V368" s="130"/>
      <c r="W368" s="130"/>
      <c r="X368" s="130" t="s">
        <v>719</v>
      </c>
      <c r="Y368" s="130">
        <v>4</v>
      </c>
      <c r="Z368" s="64">
        <v>-0.3</v>
      </c>
      <c r="AA368" s="63"/>
      <c r="AL368" s="133"/>
      <c r="BM368" s="147"/>
      <c r="BN368" s="148"/>
      <c r="BO368" s="130"/>
      <c r="BP368" s="61"/>
      <c r="BQ368" s="61"/>
      <c r="BR368" s="61"/>
      <c r="BS368" s="61"/>
      <c r="BT368" s="61"/>
      <c r="BU368" s="61"/>
      <c r="BV368" s="80"/>
      <c r="BX368" s="133">
        <v>24</v>
      </c>
      <c r="BY368" s="133">
        <v>145</v>
      </c>
      <c r="BZ368" s="133">
        <v>375</v>
      </c>
      <c r="CA368" s="133">
        <v>90</v>
      </c>
      <c r="CB368" s="133" t="s">
        <v>427</v>
      </c>
      <c r="CC368" s="57" t="s">
        <v>58</v>
      </c>
      <c r="CD368" s="57">
        <v>11</v>
      </c>
    </row>
    <row r="369" spans="21:82" x14ac:dyDescent="0.25">
      <c r="U369" s="123"/>
      <c r="V369" s="130"/>
      <c r="W369" s="130"/>
      <c r="X369" s="130"/>
      <c r="Y369" s="130">
        <v>5</v>
      </c>
      <c r="Z369" s="64">
        <v>-0.375</v>
      </c>
      <c r="AA369" s="63"/>
      <c r="AL369" s="133"/>
      <c r="BM369" s="123"/>
      <c r="BN369" s="130"/>
      <c r="BO369" s="130"/>
      <c r="BP369" s="61"/>
      <c r="BQ369" s="61"/>
      <c r="BR369" s="61"/>
      <c r="BS369" s="61"/>
      <c r="BT369" s="61"/>
      <c r="BU369" s="61"/>
      <c r="BV369" s="80"/>
      <c r="BX369" s="133">
        <v>24.5</v>
      </c>
      <c r="BY369" s="133">
        <v>150</v>
      </c>
      <c r="BZ369" s="133">
        <v>375</v>
      </c>
      <c r="CA369" s="133">
        <v>90</v>
      </c>
      <c r="CB369" s="133" t="s">
        <v>428</v>
      </c>
      <c r="CC369" s="57" t="s">
        <v>58</v>
      </c>
      <c r="CD369" s="57">
        <v>12</v>
      </c>
    </row>
    <row r="370" spans="21:82" x14ac:dyDescent="0.25">
      <c r="U370" s="123"/>
      <c r="V370" s="130"/>
      <c r="W370" s="130"/>
      <c r="X370" s="130"/>
      <c r="Y370" s="130">
        <v>6</v>
      </c>
      <c r="Z370" s="64">
        <v>-0.45</v>
      </c>
      <c r="AA370" s="63"/>
      <c r="AL370" s="133"/>
      <c r="BM370" s="123"/>
      <c r="BN370" s="130"/>
      <c r="BO370" s="130"/>
      <c r="BP370" s="61"/>
      <c r="BQ370" s="61"/>
      <c r="BR370" s="61"/>
      <c r="BS370" s="61"/>
      <c r="BT370" s="61"/>
      <c r="BU370" s="61"/>
      <c r="BV370" s="80"/>
      <c r="BX370" s="133">
        <v>25</v>
      </c>
      <c r="BY370" s="133">
        <v>155</v>
      </c>
      <c r="BZ370" s="133">
        <v>375</v>
      </c>
      <c r="CA370" s="133">
        <v>90</v>
      </c>
      <c r="CB370" s="133" t="s">
        <v>429</v>
      </c>
      <c r="CC370" s="57" t="s">
        <v>59</v>
      </c>
      <c r="CD370" s="57">
        <v>13</v>
      </c>
    </row>
    <row r="371" spans="21:82" x14ac:dyDescent="0.25">
      <c r="U371" s="123"/>
      <c r="V371" s="130"/>
      <c r="W371" s="130"/>
      <c r="X371" s="130"/>
      <c r="Y371" s="130">
        <v>7</v>
      </c>
      <c r="Z371" s="64">
        <v>-0.52500000000000002</v>
      </c>
      <c r="AA371" s="63"/>
      <c r="AL371" s="133"/>
      <c r="BM371" s="123"/>
      <c r="BN371" s="130"/>
      <c r="BO371" s="130"/>
      <c r="BP371" s="61"/>
      <c r="BQ371" s="61"/>
      <c r="BR371" s="61"/>
      <c r="BS371" s="61"/>
      <c r="BT371" s="61"/>
      <c r="BU371" s="61"/>
      <c r="BV371" s="80"/>
      <c r="BX371" s="133">
        <v>10</v>
      </c>
      <c r="BY371" s="133">
        <v>5</v>
      </c>
      <c r="BZ371" s="133">
        <v>400</v>
      </c>
      <c r="CA371" s="133">
        <v>95</v>
      </c>
      <c r="CB371" s="133" t="s">
        <v>430</v>
      </c>
      <c r="CC371" s="57" t="s">
        <v>64</v>
      </c>
      <c r="CD371" s="57">
        <v>-18</v>
      </c>
    </row>
    <row r="372" spans="21:82" x14ac:dyDescent="0.25">
      <c r="U372" s="123"/>
      <c r="V372" s="130"/>
      <c r="W372" s="130"/>
      <c r="X372" s="130" t="s">
        <v>57</v>
      </c>
      <c r="Y372" s="130">
        <v>8</v>
      </c>
      <c r="Z372" s="64">
        <v>-0.6</v>
      </c>
      <c r="AA372" s="63"/>
      <c r="BM372" s="123"/>
      <c r="BN372" s="130"/>
      <c r="BO372" s="130"/>
      <c r="BP372" s="61"/>
      <c r="BQ372" s="61"/>
      <c r="BR372" s="61"/>
      <c r="BS372" s="61"/>
      <c r="BT372" s="61"/>
      <c r="BU372" s="61"/>
      <c r="BV372" s="80"/>
      <c r="BX372" s="133">
        <v>10.5</v>
      </c>
      <c r="BY372" s="133">
        <v>10</v>
      </c>
      <c r="BZ372" s="133">
        <v>400</v>
      </c>
      <c r="CA372" s="133">
        <v>95</v>
      </c>
      <c r="CB372" s="133" t="s">
        <v>431</v>
      </c>
      <c r="CC372" s="57" t="s">
        <v>64</v>
      </c>
      <c r="CD372" s="57">
        <v>-17</v>
      </c>
    </row>
    <row r="373" spans="21:82" ht="15.75" thickBot="1" x14ac:dyDescent="0.3">
      <c r="U373" s="129"/>
      <c r="V373" s="130"/>
      <c r="W373" s="130"/>
      <c r="X373" s="130"/>
      <c r="Y373" s="130">
        <v>9</v>
      </c>
      <c r="Z373" s="64">
        <v>-0.67500000000000004</v>
      </c>
      <c r="AA373" s="63"/>
      <c r="BM373" s="124"/>
      <c r="BN373" s="132"/>
      <c r="BO373" s="132"/>
      <c r="BP373" s="95"/>
      <c r="BQ373" s="95"/>
      <c r="BR373" s="95"/>
      <c r="BS373" s="95"/>
      <c r="BT373" s="95"/>
      <c r="BU373" s="95"/>
      <c r="BV373" s="96"/>
      <c r="BX373" s="133">
        <v>11</v>
      </c>
      <c r="BY373" s="133">
        <v>15</v>
      </c>
      <c r="BZ373" s="133">
        <v>400</v>
      </c>
      <c r="CA373" s="133">
        <v>95</v>
      </c>
      <c r="CB373" s="133" t="s">
        <v>432</v>
      </c>
      <c r="CC373" s="57" t="s">
        <v>64</v>
      </c>
      <c r="CD373" s="57">
        <v>-16</v>
      </c>
    </row>
    <row r="374" spans="21:82" x14ac:dyDescent="0.25">
      <c r="U374" s="129"/>
      <c r="V374" s="130"/>
      <c r="W374" s="130"/>
      <c r="X374" s="130"/>
      <c r="Y374" s="130">
        <v>10</v>
      </c>
      <c r="Z374" s="64">
        <v>-0.75</v>
      </c>
      <c r="AA374" s="63"/>
      <c r="BX374" s="133">
        <v>11.5</v>
      </c>
      <c r="BY374" s="133">
        <v>20</v>
      </c>
      <c r="BZ374" s="133">
        <v>400</v>
      </c>
      <c r="CA374" s="133">
        <v>95</v>
      </c>
      <c r="CB374" s="133" t="s">
        <v>433</v>
      </c>
      <c r="CC374" s="57" t="s">
        <v>64</v>
      </c>
      <c r="CD374" s="57">
        <v>-15</v>
      </c>
    </row>
    <row r="375" spans="21:82" x14ac:dyDescent="0.25">
      <c r="U375" s="129"/>
      <c r="V375" s="130"/>
      <c r="W375" s="130"/>
      <c r="X375" s="130"/>
      <c r="Y375" s="130">
        <v>11</v>
      </c>
      <c r="Z375" s="64">
        <v>-0.82499999999999996</v>
      </c>
      <c r="AA375" s="63"/>
      <c r="BX375" s="133">
        <v>12</v>
      </c>
      <c r="BY375" s="133">
        <v>25</v>
      </c>
      <c r="BZ375" s="133">
        <v>400</v>
      </c>
      <c r="CA375" s="133">
        <v>95</v>
      </c>
      <c r="CB375" s="133" t="s">
        <v>434</v>
      </c>
      <c r="CC375" s="57" t="s">
        <v>64</v>
      </c>
      <c r="CD375" s="57">
        <v>-14</v>
      </c>
    </row>
    <row r="376" spans="21:82" x14ac:dyDescent="0.25">
      <c r="U376" s="129"/>
      <c r="V376" s="130"/>
      <c r="W376" s="130"/>
      <c r="X376" s="130"/>
      <c r="Y376" s="130">
        <v>12</v>
      </c>
      <c r="Z376" s="64">
        <v>-0.9</v>
      </c>
      <c r="AA376" s="63"/>
      <c r="BX376" s="133">
        <v>12.5</v>
      </c>
      <c r="BY376" s="133">
        <v>30</v>
      </c>
      <c r="BZ376" s="133">
        <v>400</v>
      </c>
      <c r="CA376" s="133">
        <v>95</v>
      </c>
      <c r="CB376" s="133" t="s">
        <v>435</v>
      </c>
      <c r="CC376" s="57" t="s">
        <v>64</v>
      </c>
      <c r="CD376" s="57">
        <v>-13</v>
      </c>
    </row>
    <row r="377" spans="21:82" x14ac:dyDescent="0.25">
      <c r="U377" s="129"/>
      <c r="V377" s="130"/>
      <c r="W377" s="130"/>
      <c r="X377" s="130"/>
      <c r="Y377" s="130">
        <v>13</v>
      </c>
      <c r="Z377" s="64">
        <v>-0.97499999999999998</v>
      </c>
      <c r="AA377" s="63"/>
      <c r="BX377" s="133">
        <v>13</v>
      </c>
      <c r="BY377" s="133">
        <v>35</v>
      </c>
      <c r="BZ377" s="133">
        <v>400</v>
      </c>
      <c r="CA377" s="133">
        <v>95</v>
      </c>
      <c r="CB377" s="133" t="s">
        <v>436</v>
      </c>
      <c r="CC377" s="57" t="s">
        <v>63</v>
      </c>
      <c r="CD377" s="57">
        <v>-12</v>
      </c>
    </row>
    <row r="378" spans="21:82" x14ac:dyDescent="0.25">
      <c r="U378" s="129"/>
      <c r="V378" s="130"/>
      <c r="W378" s="130"/>
      <c r="X378" s="130"/>
      <c r="Y378" s="130">
        <v>14</v>
      </c>
      <c r="Z378" s="64">
        <v>-1</v>
      </c>
      <c r="AA378" s="63"/>
      <c r="BX378" s="133">
        <v>13.5</v>
      </c>
      <c r="BY378" s="133">
        <v>40</v>
      </c>
      <c r="BZ378" s="133">
        <v>400</v>
      </c>
      <c r="CA378" s="133">
        <v>95</v>
      </c>
      <c r="CB378" s="133" t="s">
        <v>437</v>
      </c>
      <c r="CC378" s="57" t="s">
        <v>63</v>
      </c>
      <c r="CD378" s="57">
        <v>-11</v>
      </c>
    </row>
    <row r="379" spans="21:82" x14ac:dyDescent="0.25">
      <c r="U379" s="129"/>
      <c r="V379" s="130"/>
      <c r="W379" s="130"/>
      <c r="X379" s="130"/>
      <c r="Y379" s="130">
        <v>15</v>
      </c>
      <c r="Z379" s="64">
        <v>-1</v>
      </c>
      <c r="AA379" s="63"/>
      <c r="BX379" s="133">
        <v>14</v>
      </c>
      <c r="BY379" s="133">
        <v>45</v>
      </c>
      <c r="BZ379" s="133">
        <v>400</v>
      </c>
      <c r="CA379" s="133">
        <v>95</v>
      </c>
      <c r="CB379" s="133" t="s">
        <v>438</v>
      </c>
      <c r="CC379" s="57" t="s">
        <v>63</v>
      </c>
      <c r="CD379" s="57">
        <v>-10</v>
      </c>
    </row>
    <row r="380" spans="21:82" x14ac:dyDescent="0.25">
      <c r="U380" s="129"/>
      <c r="V380" s="130"/>
      <c r="W380" s="130"/>
      <c r="X380" s="130"/>
      <c r="Y380" s="130">
        <v>16</v>
      </c>
      <c r="Z380" s="64">
        <v>-1</v>
      </c>
      <c r="AA380" s="63"/>
      <c r="BX380" s="133">
        <v>14.5</v>
      </c>
      <c r="BY380" s="133">
        <v>50</v>
      </c>
      <c r="BZ380" s="133">
        <v>400</v>
      </c>
      <c r="CA380" s="133">
        <v>95</v>
      </c>
      <c r="CB380" s="133" t="s">
        <v>439</v>
      </c>
      <c r="CC380" s="57" t="s">
        <v>62</v>
      </c>
      <c r="CD380" s="57">
        <v>-9</v>
      </c>
    </row>
    <row r="381" spans="21:82" x14ac:dyDescent="0.25">
      <c r="U381" s="129"/>
      <c r="V381" s="130"/>
      <c r="W381" s="130"/>
      <c r="X381" s="130"/>
      <c r="Y381" s="130">
        <v>17</v>
      </c>
      <c r="Z381" s="64">
        <v>-1</v>
      </c>
      <c r="AA381" s="63"/>
      <c r="BX381" s="133">
        <v>15</v>
      </c>
      <c r="BY381" s="133">
        <v>55</v>
      </c>
      <c r="BZ381" s="133">
        <v>400</v>
      </c>
      <c r="CA381" s="133">
        <v>95</v>
      </c>
      <c r="CB381" s="133" t="s">
        <v>440</v>
      </c>
      <c r="CC381" s="57" t="s">
        <v>62</v>
      </c>
      <c r="CD381" s="57">
        <v>-8</v>
      </c>
    </row>
    <row r="382" spans="21:82" x14ac:dyDescent="0.25">
      <c r="U382" s="129"/>
      <c r="V382" s="130"/>
      <c r="W382" s="130"/>
      <c r="X382" s="130"/>
      <c r="Y382" s="130">
        <v>18</v>
      </c>
      <c r="Z382" s="64">
        <v>-1</v>
      </c>
      <c r="AA382" s="63"/>
      <c r="BX382" s="133">
        <v>15.5</v>
      </c>
      <c r="BY382" s="133">
        <v>60</v>
      </c>
      <c r="BZ382" s="133">
        <v>400</v>
      </c>
      <c r="CA382" s="133">
        <v>95</v>
      </c>
      <c r="CB382" s="133" t="s">
        <v>441</v>
      </c>
      <c r="CC382" s="57" t="s">
        <v>62</v>
      </c>
      <c r="CD382" s="57">
        <v>-7</v>
      </c>
    </row>
    <row r="383" spans="21:82" x14ac:dyDescent="0.25">
      <c r="U383" s="129"/>
      <c r="V383" s="130"/>
      <c r="W383" s="130"/>
      <c r="X383" s="130"/>
      <c r="Y383" s="130">
        <v>19</v>
      </c>
      <c r="Z383" s="64">
        <v>-1</v>
      </c>
      <c r="AA383" s="63"/>
      <c r="BX383" s="133">
        <v>16</v>
      </c>
      <c r="BY383" s="133">
        <v>65</v>
      </c>
      <c r="BZ383" s="133">
        <v>400</v>
      </c>
      <c r="CA383" s="133">
        <v>95</v>
      </c>
      <c r="CB383" s="133" t="s">
        <v>442</v>
      </c>
      <c r="CC383" s="57" t="s">
        <v>61</v>
      </c>
      <c r="CD383" s="57">
        <v>-6</v>
      </c>
    </row>
    <row r="384" spans="21:82" x14ac:dyDescent="0.25">
      <c r="U384" s="129"/>
      <c r="V384" s="130"/>
      <c r="W384" s="130"/>
      <c r="X384" s="130"/>
      <c r="Y384" s="130">
        <v>20</v>
      </c>
      <c r="Z384" s="64">
        <v>-1</v>
      </c>
      <c r="AA384" s="63"/>
      <c r="BX384" s="133">
        <v>16.5</v>
      </c>
      <c r="BY384" s="133">
        <v>70</v>
      </c>
      <c r="BZ384" s="133">
        <v>400</v>
      </c>
      <c r="CA384" s="133">
        <v>95</v>
      </c>
      <c r="CB384" s="133" t="s">
        <v>443</v>
      </c>
      <c r="CC384" s="57" t="s">
        <v>61</v>
      </c>
      <c r="CD384" s="57">
        <v>-5</v>
      </c>
    </row>
    <row r="385" spans="21:82" x14ac:dyDescent="0.25">
      <c r="U385" s="129"/>
      <c r="V385" s="130"/>
      <c r="W385" s="130"/>
      <c r="X385" s="130"/>
      <c r="Y385" s="130">
        <v>21</v>
      </c>
      <c r="Z385" s="64">
        <v>-1</v>
      </c>
      <c r="AA385" s="63"/>
      <c r="BX385" s="133">
        <v>17</v>
      </c>
      <c r="BY385" s="133">
        <v>75</v>
      </c>
      <c r="BZ385" s="133">
        <v>400</v>
      </c>
      <c r="CA385" s="133">
        <v>95</v>
      </c>
      <c r="CB385" s="133" t="s">
        <v>444</v>
      </c>
      <c r="CC385" s="57" t="s">
        <v>61</v>
      </c>
      <c r="CD385" s="57">
        <v>-4</v>
      </c>
    </row>
    <row r="386" spans="21:82" x14ac:dyDescent="0.25">
      <c r="U386" s="129"/>
      <c r="V386" s="130"/>
      <c r="W386" s="130"/>
      <c r="X386" s="130"/>
      <c r="Y386" s="130">
        <v>22</v>
      </c>
      <c r="Z386" s="64">
        <v>-1</v>
      </c>
      <c r="AA386" s="63"/>
      <c r="BX386" s="133">
        <v>17.5</v>
      </c>
      <c r="BY386" s="133">
        <v>80</v>
      </c>
      <c r="BZ386" s="133">
        <v>400</v>
      </c>
      <c r="CA386" s="133">
        <v>95</v>
      </c>
      <c r="CB386" s="133" t="s">
        <v>445</v>
      </c>
      <c r="CC386" s="57" t="s">
        <v>60</v>
      </c>
      <c r="CD386" s="57">
        <v>-3</v>
      </c>
    </row>
    <row r="387" spans="21:82" x14ac:dyDescent="0.25">
      <c r="U387" s="129"/>
      <c r="V387" s="130"/>
      <c r="W387" s="130"/>
      <c r="X387" s="130"/>
      <c r="Y387" s="130">
        <v>23</v>
      </c>
      <c r="Z387" s="64">
        <v>-1</v>
      </c>
      <c r="AA387" s="63"/>
      <c r="BX387" s="133">
        <v>18</v>
      </c>
      <c r="BY387" s="133">
        <v>85</v>
      </c>
      <c r="BZ387" s="133">
        <v>400</v>
      </c>
      <c r="CA387" s="133">
        <v>95</v>
      </c>
      <c r="CB387" s="133" t="s">
        <v>446</v>
      </c>
      <c r="CC387" s="57" t="s">
        <v>60</v>
      </c>
      <c r="CD387" s="57">
        <v>-2</v>
      </c>
    </row>
    <row r="388" spans="21:82" ht="15.75" thickBot="1" x14ac:dyDescent="0.3">
      <c r="U388" s="131"/>
      <c r="V388" s="132"/>
      <c r="W388" s="132"/>
      <c r="X388" s="132"/>
      <c r="Y388" s="132">
        <v>24</v>
      </c>
      <c r="Z388" s="105">
        <v>-1</v>
      </c>
      <c r="AA388" s="118"/>
      <c r="BX388" s="133">
        <v>18.5</v>
      </c>
      <c r="BY388" s="133">
        <v>90</v>
      </c>
      <c r="BZ388" s="133">
        <v>400</v>
      </c>
      <c r="CA388" s="133">
        <v>95</v>
      </c>
      <c r="CB388" s="133" t="s">
        <v>447</v>
      </c>
      <c r="CC388" s="57" t="s">
        <v>60</v>
      </c>
      <c r="CD388" s="57">
        <v>-1</v>
      </c>
    </row>
    <row r="389" spans="21:82" x14ac:dyDescent="0.25">
      <c r="U389" s="130"/>
      <c r="V389" s="130"/>
      <c r="W389" s="130"/>
      <c r="X389" s="130"/>
      <c r="Y389" s="130"/>
      <c r="Z389" s="130"/>
      <c r="AA389" s="130"/>
      <c r="BX389" s="133">
        <v>19</v>
      </c>
      <c r="BY389" s="133">
        <v>95</v>
      </c>
      <c r="BZ389" s="133">
        <v>400</v>
      </c>
      <c r="CA389" s="133">
        <v>95</v>
      </c>
      <c r="CB389" s="133" t="s">
        <v>448</v>
      </c>
      <c r="CC389" s="57" t="s">
        <v>54</v>
      </c>
      <c r="CD389" s="57">
        <v>0</v>
      </c>
    </row>
    <row r="390" spans="21:82" x14ac:dyDescent="0.25">
      <c r="BX390" s="133">
        <v>19.5</v>
      </c>
      <c r="BY390" s="133">
        <v>100</v>
      </c>
      <c r="BZ390" s="133">
        <v>400</v>
      </c>
      <c r="CA390" s="133">
        <v>95</v>
      </c>
      <c r="CB390" s="133" t="s">
        <v>449</v>
      </c>
      <c r="CC390" s="57" t="s">
        <v>55</v>
      </c>
      <c r="CD390" s="57">
        <v>1</v>
      </c>
    </row>
    <row r="391" spans="21:82" x14ac:dyDescent="0.25">
      <c r="BX391" s="133">
        <v>20</v>
      </c>
      <c r="BY391" s="133">
        <v>105</v>
      </c>
      <c r="BZ391" s="133">
        <v>400</v>
      </c>
      <c r="CA391" s="133">
        <v>95</v>
      </c>
      <c r="CB391" s="133" t="s">
        <v>450</v>
      </c>
      <c r="CC391" s="57" t="s">
        <v>55</v>
      </c>
      <c r="CD391" s="57">
        <v>2</v>
      </c>
    </row>
    <row r="392" spans="21:82" x14ac:dyDescent="0.25">
      <c r="BX392" s="133">
        <v>20.5</v>
      </c>
      <c r="BY392" s="133">
        <v>110</v>
      </c>
      <c r="BZ392" s="133">
        <v>400</v>
      </c>
      <c r="CA392" s="133">
        <v>95</v>
      </c>
      <c r="CB392" s="133" t="s">
        <v>451</v>
      </c>
      <c r="CC392" s="57" t="s">
        <v>55</v>
      </c>
      <c r="CD392" s="57">
        <v>3</v>
      </c>
    </row>
    <row r="393" spans="21:82" x14ac:dyDescent="0.25">
      <c r="BX393" s="133">
        <v>21</v>
      </c>
      <c r="BY393" s="133">
        <v>115</v>
      </c>
      <c r="BZ393" s="133">
        <v>400</v>
      </c>
      <c r="CA393" s="133">
        <v>95</v>
      </c>
      <c r="CB393" s="133" t="s">
        <v>452</v>
      </c>
      <c r="CC393" s="57" t="s">
        <v>56</v>
      </c>
      <c r="CD393" s="57">
        <v>4</v>
      </c>
    </row>
    <row r="394" spans="21:82" x14ac:dyDescent="0.25">
      <c r="BX394" s="133">
        <v>21.5</v>
      </c>
      <c r="BY394" s="133">
        <v>120</v>
      </c>
      <c r="BZ394" s="133">
        <v>400</v>
      </c>
      <c r="CA394" s="133">
        <v>95</v>
      </c>
      <c r="CB394" s="133" t="s">
        <v>453</v>
      </c>
      <c r="CC394" s="57" t="s">
        <v>56</v>
      </c>
      <c r="CD394" s="57">
        <v>5</v>
      </c>
    </row>
    <row r="395" spans="21:82" x14ac:dyDescent="0.25">
      <c r="BX395" s="133">
        <v>22</v>
      </c>
      <c r="BY395" s="133">
        <v>125</v>
      </c>
      <c r="BZ395" s="133">
        <v>400</v>
      </c>
      <c r="CA395" s="133">
        <v>95</v>
      </c>
      <c r="CB395" s="133" t="s">
        <v>454</v>
      </c>
      <c r="CC395" s="57" t="s">
        <v>56</v>
      </c>
      <c r="CD395" s="57">
        <v>6</v>
      </c>
    </row>
    <row r="396" spans="21:82" x14ac:dyDescent="0.25">
      <c r="BX396" s="133">
        <v>22.5</v>
      </c>
      <c r="BY396" s="133">
        <v>130</v>
      </c>
      <c r="BZ396" s="133">
        <v>400</v>
      </c>
      <c r="CA396" s="133">
        <v>95</v>
      </c>
      <c r="CB396" s="133" t="s">
        <v>455</v>
      </c>
      <c r="CC396" s="57" t="s">
        <v>57</v>
      </c>
      <c r="CD396" s="57">
        <v>7</v>
      </c>
    </row>
    <row r="397" spans="21:82" x14ac:dyDescent="0.25">
      <c r="BX397" s="133">
        <v>23</v>
      </c>
      <c r="BY397" s="133">
        <v>135</v>
      </c>
      <c r="BZ397" s="133">
        <v>400</v>
      </c>
      <c r="CA397" s="133">
        <v>95</v>
      </c>
      <c r="CB397" s="133" t="s">
        <v>456</v>
      </c>
      <c r="CC397" s="57" t="s">
        <v>57</v>
      </c>
      <c r="CD397" s="57">
        <v>8</v>
      </c>
    </row>
    <row r="398" spans="21:82" x14ac:dyDescent="0.25">
      <c r="BX398" s="133">
        <v>23.5</v>
      </c>
      <c r="BY398" s="133">
        <v>140</v>
      </c>
      <c r="BZ398" s="133">
        <v>400</v>
      </c>
      <c r="CA398" s="133">
        <v>95</v>
      </c>
      <c r="CB398" s="133" t="s">
        <v>457</v>
      </c>
      <c r="CC398" s="57" t="s">
        <v>57</v>
      </c>
      <c r="CD398" s="57">
        <v>9</v>
      </c>
    </row>
    <row r="399" spans="21:82" x14ac:dyDescent="0.25">
      <c r="BX399" s="133">
        <v>24</v>
      </c>
      <c r="BY399" s="133">
        <v>145</v>
      </c>
      <c r="BZ399" s="133">
        <v>400</v>
      </c>
      <c r="CA399" s="133">
        <v>95</v>
      </c>
      <c r="CB399" s="133" t="s">
        <v>458</v>
      </c>
      <c r="CC399" s="57" t="s">
        <v>58</v>
      </c>
      <c r="CD399" s="57">
        <v>10</v>
      </c>
    </row>
    <row r="400" spans="21:82" x14ac:dyDescent="0.25">
      <c r="BX400" s="133">
        <v>24.5</v>
      </c>
      <c r="BY400" s="133">
        <v>150</v>
      </c>
      <c r="BZ400" s="133">
        <v>400</v>
      </c>
      <c r="CA400" s="133">
        <v>95</v>
      </c>
      <c r="CB400" s="133" t="s">
        <v>459</v>
      </c>
      <c r="CC400" s="57" t="s">
        <v>58</v>
      </c>
      <c r="CD400" s="57">
        <v>11</v>
      </c>
    </row>
    <row r="401" spans="76:82" x14ac:dyDescent="0.25">
      <c r="BX401" s="133">
        <v>25</v>
      </c>
      <c r="BY401" s="133">
        <v>155</v>
      </c>
      <c r="BZ401" s="133">
        <v>400</v>
      </c>
      <c r="CA401" s="133">
        <v>95</v>
      </c>
      <c r="CB401" s="133" t="s">
        <v>460</v>
      </c>
      <c r="CC401" s="57" t="s">
        <v>58</v>
      </c>
      <c r="CD401" s="57">
        <v>12</v>
      </c>
    </row>
    <row r="402" spans="76:82" x14ac:dyDescent="0.25">
      <c r="BX402" s="133">
        <v>10</v>
      </c>
      <c r="BY402" s="133">
        <v>5</v>
      </c>
      <c r="BZ402" s="133">
        <v>425</v>
      </c>
      <c r="CA402" s="133">
        <v>100</v>
      </c>
      <c r="CB402" s="133" t="s">
        <v>461</v>
      </c>
      <c r="CC402" s="57" t="s">
        <v>64</v>
      </c>
      <c r="CD402" s="57">
        <v>-19</v>
      </c>
    </row>
    <row r="403" spans="76:82" x14ac:dyDescent="0.25">
      <c r="BX403" s="133">
        <v>10.5</v>
      </c>
      <c r="BY403" s="133">
        <v>10</v>
      </c>
      <c r="BZ403" s="133">
        <v>425</v>
      </c>
      <c r="CA403" s="133">
        <v>100</v>
      </c>
      <c r="CB403" s="133" t="s">
        <v>462</v>
      </c>
      <c r="CC403" s="57" t="s">
        <v>64</v>
      </c>
      <c r="CD403" s="57">
        <v>-18</v>
      </c>
    </row>
    <row r="404" spans="76:82" x14ac:dyDescent="0.25">
      <c r="BX404" s="133">
        <v>11</v>
      </c>
      <c r="BY404" s="133">
        <v>15</v>
      </c>
      <c r="BZ404" s="133">
        <v>425</v>
      </c>
      <c r="CA404" s="133">
        <v>100</v>
      </c>
      <c r="CB404" s="133" t="s">
        <v>463</v>
      </c>
      <c r="CC404" s="57" t="s">
        <v>64</v>
      </c>
      <c r="CD404" s="57">
        <v>-17</v>
      </c>
    </row>
    <row r="405" spans="76:82" x14ac:dyDescent="0.25">
      <c r="BX405" s="133">
        <v>11.5</v>
      </c>
      <c r="BY405" s="133">
        <v>20</v>
      </c>
      <c r="BZ405" s="133">
        <v>425</v>
      </c>
      <c r="CA405" s="133">
        <v>100</v>
      </c>
      <c r="CB405" s="133" t="s">
        <v>464</v>
      </c>
      <c r="CC405" s="57" t="s">
        <v>64</v>
      </c>
      <c r="CD405" s="57">
        <v>-16</v>
      </c>
    </row>
    <row r="406" spans="76:82" x14ac:dyDescent="0.25">
      <c r="BX406" s="133">
        <v>12</v>
      </c>
      <c r="BY406" s="133">
        <v>25</v>
      </c>
      <c r="BZ406" s="133">
        <v>425</v>
      </c>
      <c r="CA406" s="133">
        <v>100</v>
      </c>
      <c r="CB406" s="133" t="s">
        <v>465</v>
      </c>
      <c r="CC406" s="57" t="s">
        <v>64</v>
      </c>
      <c r="CD406" s="57">
        <v>-15</v>
      </c>
    </row>
    <row r="407" spans="76:82" x14ac:dyDescent="0.25">
      <c r="BX407" s="133">
        <v>12.5</v>
      </c>
      <c r="BY407" s="133">
        <v>30</v>
      </c>
      <c r="BZ407" s="133">
        <v>425</v>
      </c>
      <c r="CA407" s="133">
        <v>100</v>
      </c>
      <c r="CB407" s="133" t="s">
        <v>466</v>
      </c>
      <c r="CC407" s="57" t="s">
        <v>64</v>
      </c>
      <c r="CD407" s="57">
        <v>-14</v>
      </c>
    </row>
    <row r="408" spans="76:82" x14ac:dyDescent="0.25">
      <c r="BX408" s="133">
        <v>13</v>
      </c>
      <c r="BY408" s="133">
        <v>35</v>
      </c>
      <c r="BZ408" s="133">
        <v>425</v>
      </c>
      <c r="CA408" s="133">
        <v>100</v>
      </c>
      <c r="CB408" s="133" t="s">
        <v>467</v>
      </c>
      <c r="CC408" s="57" t="s">
        <v>64</v>
      </c>
      <c r="CD408" s="57">
        <v>-13</v>
      </c>
    </row>
    <row r="409" spans="76:82" x14ac:dyDescent="0.25">
      <c r="BX409" s="133">
        <v>13.5</v>
      </c>
      <c r="BY409" s="133">
        <v>40</v>
      </c>
      <c r="BZ409" s="133">
        <v>425</v>
      </c>
      <c r="CA409" s="133">
        <v>100</v>
      </c>
      <c r="CB409" s="133" t="s">
        <v>468</v>
      </c>
      <c r="CC409" s="57" t="s">
        <v>63</v>
      </c>
      <c r="CD409" s="57">
        <v>-12</v>
      </c>
    </row>
    <row r="410" spans="76:82" x14ac:dyDescent="0.25">
      <c r="BX410" s="133">
        <v>14</v>
      </c>
      <c r="BY410" s="133">
        <v>45</v>
      </c>
      <c r="BZ410" s="133">
        <v>425</v>
      </c>
      <c r="CA410" s="133">
        <v>100</v>
      </c>
      <c r="CB410" s="133" t="s">
        <v>469</v>
      </c>
      <c r="CC410" s="57" t="s">
        <v>63</v>
      </c>
      <c r="CD410" s="57">
        <v>-11</v>
      </c>
    </row>
    <row r="411" spans="76:82" x14ac:dyDescent="0.25">
      <c r="BX411" s="133">
        <v>14.5</v>
      </c>
      <c r="BY411" s="133">
        <v>50</v>
      </c>
      <c r="BZ411" s="133">
        <v>425</v>
      </c>
      <c r="CA411" s="133">
        <v>100</v>
      </c>
      <c r="CB411" s="133" t="s">
        <v>470</v>
      </c>
      <c r="CC411" s="57" t="s">
        <v>63</v>
      </c>
      <c r="CD411" s="57">
        <v>-10</v>
      </c>
    </row>
    <row r="412" spans="76:82" x14ac:dyDescent="0.25">
      <c r="BX412" s="133">
        <v>15</v>
      </c>
      <c r="BY412" s="133">
        <v>55</v>
      </c>
      <c r="BZ412" s="133">
        <v>425</v>
      </c>
      <c r="CA412" s="133">
        <v>100</v>
      </c>
      <c r="CB412" s="133" t="s">
        <v>471</v>
      </c>
      <c r="CC412" s="57" t="s">
        <v>62</v>
      </c>
      <c r="CD412" s="57">
        <v>-9</v>
      </c>
    </row>
    <row r="413" spans="76:82" x14ac:dyDescent="0.25">
      <c r="BX413" s="133">
        <v>15.5</v>
      </c>
      <c r="BY413" s="133">
        <v>60</v>
      </c>
      <c r="BZ413" s="133">
        <v>425</v>
      </c>
      <c r="CA413" s="133">
        <v>100</v>
      </c>
      <c r="CB413" s="133" t="s">
        <v>472</v>
      </c>
      <c r="CC413" s="57" t="s">
        <v>62</v>
      </c>
      <c r="CD413" s="57">
        <v>-8</v>
      </c>
    </row>
    <row r="414" spans="76:82" x14ac:dyDescent="0.25">
      <c r="BX414" s="133">
        <v>16</v>
      </c>
      <c r="BY414" s="133">
        <v>65</v>
      </c>
      <c r="BZ414" s="133">
        <v>425</v>
      </c>
      <c r="CA414" s="133">
        <v>100</v>
      </c>
      <c r="CB414" s="133" t="s">
        <v>473</v>
      </c>
      <c r="CC414" s="57" t="s">
        <v>62</v>
      </c>
      <c r="CD414" s="57">
        <v>-7</v>
      </c>
    </row>
    <row r="415" spans="76:82" x14ac:dyDescent="0.25">
      <c r="BX415" s="133">
        <v>16.5</v>
      </c>
      <c r="BY415" s="133">
        <v>70</v>
      </c>
      <c r="BZ415" s="133">
        <v>425</v>
      </c>
      <c r="CA415" s="133">
        <v>100</v>
      </c>
      <c r="CB415" s="133" t="s">
        <v>474</v>
      </c>
      <c r="CC415" s="57" t="s">
        <v>61</v>
      </c>
      <c r="CD415" s="57">
        <v>-6</v>
      </c>
    </row>
    <row r="416" spans="76:82" x14ac:dyDescent="0.25">
      <c r="BX416" s="133">
        <v>17</v>
      </c>
      <c r="BY416" s="133">
        <v>75</v>
      </c>
      <c r="BZ416" s="133">
        <v>425</v>
      </c>
      <c r="CA416" s="133">
        <v>100</v>
      </c>
      <c r="CB416" s="133" t="s">
        <v>475</v>
      </c>
      <c r="CC416" s="57" t="s">
        <v>61</v>
      </c>
      <c r="CD416" s="57">
        <v>-5</v>
      </c>
    </row>
    <row r="417" spans="76:82" x14ac:dyDescent="0.25">
      <c r="BX417" s="133">
        <v>17.5</v>
      </c>
      <c r="BY417" s="133">
        <v>80</v>
      </c>
      <c r="BZ417" s="133">
        <v>425</v>
      </c>
      <c r="CA417" s="133">
        <v>100</v>
      </c>
      <c r="CB417" s="133" t="s">
        <v>476</v>
      </c>
      <c r="CC417" s="57" t="s">
        <v>61</v>
      </c>
      <c r="CD417" s="57">
        <v>-4</v>
      </c>
    </row>
    <row r="418" spans="76:82" x14ac:dyDescent="0.25">
      <c r="BX418" s="133">
        <v>18</v>
      </c>
      <c r="BY418" s="133">
        <v>85</v>
      </c>
      <c r="BZ418" s="133">
        <v>425</v>
      </c>
      <c r="CA418" s="133">
        <v>100</v>
      </c>
      <c r="CB418" s="133" t="s">
        <v>477</v>
      </c>
      <c r="CC418" s="57" t="s">
        <v>60</v>
      </c>
      <c r="CD418" s="57">
        <v>-3</v>
      </c>
    </row>
    <row r="419" spans="76:82" x14ac:dyDescent="0.25">
      <c r="BX419" s="133">
        <v>18.5</v>
      </c>
      <c r="BY419" s="133">
        <v>90</v>
      </c>
      <c r="BZ419" s="133">
        <v>425</v>
      </c>
      <c r="CA419" s="133">
        <v>100</v>
      </c>
      <c r="CB419" s="133" t="s">
        <v>478</v>
      </c>
      <c r="CC419" s="57" t="s">
        <v>60</v>
      </c>
      <c r="CD419" s="57">
        <v>-2</v>
      </c>
    </row>
    <row r="420" spans="76:82" x14ac:dyDescent="0.25">
      <c r="BX420" s="133">
        <v>19</v>
      </c>
      <c r="BY420" s="133">
        <v>95</v>
      </c>
      <c r="BZ420" s="133">
        <v>425</v>
      </c>
      <c r="CA420" s="133">
        <v>100</v>
      </c>
      <c r="CB420" s="133" t="s">
        <v>479</v>
      </c>
      <c r="CC420" s="57" t="s">
        <v>60</v>
      </c>
      <c r="CD420" s="57">
        <v>-1</v>
      </c>
    </row>
    <row r="421" spans="76:82" x14ac:dyDescent="0.25">
      <c r="BX421" s="133">
        <v>19.5</v>
      </c>
      <c r="BY421" s="133">
        <v>100</v>
      </c>
      <c r="BZ421" s="133">
        <v>425</v>
      </c>
      <c r="CA421" s="133">
        <v>100</v>
      </c>
      <c r="CB421" s="133" t="s">
        <v>480</v>
      </c>
      <c r="CC421" s="57" t="s">
        <v>54</v>
      </c>
      <c r="CD421" s="57">
        <v>0</v>
      </c>
    </row>
    <row r="422" spans="76:82" x14ac:dyDescent="0.25">
      <c r="BX422" s="133">
        <v>20</v>
      </c>
      <c r="BY422" s="133">
        <v>105</v>
      </c>
      <c r="BZ422" s="133">
        <v>425</v>
      </c>
      <c r="CA422" s="133">
        <v>100</v>
      </c>
      <c r="CB422" s="133" t="s">
        <v>481</v>
      </c>
      <c r="CC422" s="57" t="s">
        <v>55</v>
      </c>
      <c r="CD422" s="57">
        <v>1</v>
      </c>
    </row>
    <row r="423" spans="76:82" x14ac:dyDescent="0.25">
      <c r="BX423" s="133">
        <v>20.5</v>
      </c>
      <c r="BY423" s="133">
        <v>110</v>
      </c>
      <c r="BZ423" s="133">
        <v>425</v>
      </c>
      <c r="CA423" s="133">
        <v>100</v>
      </c>
      <c r="CB423" s="133" t="s">
        <v>482</v>
      </c>
      <c r="CC423" s="57" t="s">
        <v>55</v>
      </c>
      <c r="CD423" s="57">
        <v>2</v>
      </c>
    </row>
    <row r="424" spans="76:82" x14ac:dyDescent="0.25">
      <c r="BX424" s="133">
        <v>21</v>
      </c>
      <c r="BY424" s="133">
        <v>115</v>
      </c>
      <c r="BZ424" s="133">
        <v>425</v>
      </c>
      <c r="CA424" s="133">
        <v>100</v>
      </c>
      <c r="CB424" s="133" t="s">
        <v>483</v>
      </c>
      <c r="CC424" s="57" t="s">
        <v>55</v>
      </c>
      <c r="CD424" s="57">
        <v>3</v>
      </c>
    </row>
    <row r="425" spans="76:82" x14ac:dyDescent="0.25">
      <c r="BX425" s="133">
        <v>21.5</v>
      </c>
      <c r="BY425" s="133">
        <v>120</v>
      </c>
      <c r="BZ425" s="133">
        <v>425</v>
      </c>
      <c r="CA425" s="133">
        <v>100</v>
      </c>
      <c r="CB425" s="133" t="s">
        <v>484</v>
      </c>
      <c r="CC425" s="57" t="s">
        <v>56</v>
      </c>
      <c r="CD425" s="57">
        <v>4</v>
      </c>
    </row>
    <row r="426" spans="76:82" x14ac:dyDescent="0.25">
      <c r="BX426" s="133">
        <v>22</v>
      </c>
      <c r="BY426" s="133">
        <v>125</v>
      </c>
      <c r="BZ426" s="133">
        <v>425</v>
      </c>
      <c r="CA426" s="133">
        <v>100</v>
      </c>
      <c r="CB426" s="133" t="s">
        <v>485</v>
      </c>
      <c r="CC426" s="57" t="s">
        <v>56</v>
      </c>
      <c r="CD426" s="57">
        <v>5</v>
      </c>
    </row>
    <row r="427" spans="76:82" x14ac:dyDescent="0.25">
      <c r="BX427" s="133">
        <v>22.5</v>
      </c>
      <c r="BY427" s="133">
        <v>130</v>
      </c>
      <c r="BZ427" s="133">
        <v>425</v>
      </c>
      <c r="CA427" s="133">
        <v>100</v>
      </c>
      <c r="CB427" s="133" t="s">
        <v>486</v>
      </c>
      <c r="CC427" s="57" t="s">
        <v>56</v>
      </c>
      <c r="CD427" s="57">
        <v>6</v>
      </c>
    </row>
    <row r="428" spans="76:82" x14ac:dyDescent="0.25">
      <c r="BX428" s="133">
        <v>23</v>
      </c>
      <c r="BY428" s="133">
        <v>135</v>
      </c>
      <c r="BZ428" s="133">
        <v>425</v>
      </c>
      <c r="CA428" s="133">
        <v>100</v>
      </c>
      <c r="CB428" s="133" t="s">
        <v>487</v>
      </c>
      <c r="CC428" s="57" t="s">
        <v>57</v>
      </c>
      <c r="CD428" s="57">
        <v>7</v>
      </c>
    </row>
    <row r="429" spans="76:82" x14ac:dyDescent="0.25">
      <c r="BX429" s="133">
        <v>23.5</v>
      </c>
      <c r="BY429" s="133">
        <v>140</v>
      </c>
      <c r="BZ429" s="133">
        <v>425</v>
      </c>
      <c r="CA429" s="133">
        <v>100</v>
      </c>
      <c r="CB429" s="133" t="s">
        <v>488</v>
      </c>
      <c r="CC429" s="57" t="s">
        <v>57</v>
      </c>
      <c r="CD429" s="57">
        <v>8</v>
      </c>
    </row>
    <row r="430" spans="76:82" x14ac:dyDescent="0.25">
      <c r="BX430" s="133">
        <v>24</v>
      </c>
      <c r="BY430" s="133">
        <v>145</v>
      </c>
      <c r="BZ430" s="133">
        <v>425</v>
      </c>
      <c r="CA430" s="133">
        <v>100</v>
      </c>
      <c r="CB430" s="133" t="s">
        <v>489</v>
      </c>
      <c r="CC430" s="57" t="s">
        <v>57</v>
      </c>
      <c r="CD430" s="57">
        <v>9</v>
      </c>
    </row>
    <row r="431" spans="76:82" x14ac:dyDescent="0.25">
      <c r="BX431" s="133">
        <v>24.5</v>
      </c>
      <c r="BY431" s="133">
        <v>150</v>
      </c>
      <c r="BZ431" s="133">
        <v>425</v>
      </c>
      <c r="CA431" s="133">
        <v>100</v>
      </c>
      <c r="CB431" s="133" t="s">
        <v>490</v>
      </c>
      <c r="CC431" s="57" t="s">
        <v>58</v>
      </c>
      <c r="CD431" s="57">
        <v>10</v>
      </c>
    </row>
    <row r="432" spans="76:82" x14ac:dyDescent="0.25">
      <c r="BX432" s="133">
        <v>25</v>
      </c>
      <c r="BY432" s="133">
        <v>155</v>
      </c>
      <c r="BZ432" s="133">
        <v>425</v>
      </c>
      <c r="CA432" s="133">
        <v>100</v>
      </c>
      <c r="CB432" s="133" t="s">
        <v>491</v>
      </c>
      <c r="CC432" s="57" t="s">
        <v>58</v>
      </c>
      <c r="CD432" s="57">
        <v>11</v>
      </c>
    </row>
    <row r="433" spans="76:82" x14ac:dyDescent="0.25">
      <c r="BX433" s="133">
        <v>10</v>
      </c>
      <c r="BY433" s="133">
        <v>5</v>
      </c>
      <c r="BZ433" s="133">
        <v>450</v>
      </c>
      <c r="CA433" s="133">
        <v>105</v>
      </c>
      <c r="CB433" s="133" t="s">
        <v>492</v>
      </c>
      <c r="CC433" s="57" t="s">
        <v>64</v>
      </c>
      <c r="CD433" s="57">
        <v>-20</v>
      </c>
    </row>
    <row r="434" spans="76:82" x14ac:dyDescent="0.25">
      <c r="BX434" s="133">
        <v>10.5</v>
      </c>
      <c r="BY434" s="133">
        <v>10</v>
      </c>
      <c r="BZ434" s="133">
        <v>450</v>
      </c>
      <c r="CA434" s="133">
        <v>105</v>
      </c>
      <c r="CB434" s="133" t="s">
        <v>493</v>
      </c>
      <c r="CC434" s="57" t="s">
        <v>64</v>
      </c>
      <c r="CD434" s="57">
        <v>-19</v>
      </c>
    </row>
    <row r="435" spans="76:82" x14ac:dyDescent="0.25">
      <c r="BX435" s="133">
        <v>11</v>
      </c>
      <c r="BY435" s="133">
        <v>15</v>
      </c>
      <c r="BZ435" s="133">
        <v>450</v>
      </c>
      <c r="CA435" s="133">
        <v>105</v>
      </c>
      <c r="CB435" s="133" t="s">
        <v>494</v>
      </c>
      <c r="CC435" s="57" t="s">
        <v>64</v>
      </c>
      <c r="CD435" s="57">
        <v>-18</v>
      </c>
    </row>
    <row r="436" spans="76:82" x14ac:dyDescent="0.25">
      <c r="BX436" s="133">
        <v>11.5</v>
      </c>
      <c r="BY436" s="133">
        <v>20</v>
      </c>
      <c r="BZ436" s="133">
        <v>450</v>
      </c>
      <c r="CA436" s="133">
        <v>105</v>
      </c>
      <c r="CB436" s="133" t="s">
        <v>495</v>
      </c>
      <c r="CC436" s="57" t="s">
        <v>64</v>
      </c>
      <c r="CD436" s="57">
        <v>-17</v>
      </c>
    </row>
    <row r="437" spans="76:82" x14ac:dyDescent="0.25">
      <c r="BX437" s="133">
        <v>12</v>
      </c>
      <c r="BY437" s="133">
        <v>25</v>
      </c>
      <c r="BZ437" s="133">
        <v>450</v>
      </c>
      <c r="CA437" s="133">
        <v>105</v>
      </c>
      <c r="CB437" s="133" t="s">
        <v>496</v>
      </c>
      <c r="CC437" s="57" t="s">
        <v>64</v>
      </c>
      <c r="CD437" s="57">
        <v>-16</v>
      </c>
    </row>
    <row r="438" spans="76:82" x14ac:dyDescent="0.25">
      <c r="BX438" s="133">
        <v>12.5</v>
      </c>
      <c r="BY438" s="133">
        <v>30</v>
      </c>
      <c r="BZ438" s="133">
        <v>450</v>
      </c>
      <c r="CA438" s="133">
        <v>105</v>
      </c>
      <c r="CB438" s="133" t="s">
        <v>497</v>
      </c>
      <c r="CC438" s="57" t="s">
        <v>64</v>
      </c>
      <c r="CD438" s="57">
        <v>-15</v>
      </c>
    </row>
    <row r="439" spans="76:82" x14ac:dyDescent="0.25">
      <c r="BX439" s="133">
        <v>13</v>
      </c>
      <c r="BY439" s="133">
        <v>35</v>
      </c>
      <c r="BZ439" s="133">
        <v>450</v>
      </c>
      <c r="CA439" s="133">
        <v>105</v>
      </c>
      <c r="CB439" s="133" t="s">
        <v>498</v>
      </c>
      <c r="CC439" s="57" t="s">
        <v>64</v>
      </c>
      <c r="CD439" s="57">
        <v>-14</v>
      </c>
    </row>
    <row r="440" spans="76:82" x14ac:dyDescent="0.25">
      <c r="BX440" s="133">
        <v>13.5</v>
      </c>
      <c r="BY440" s="133">
        <v>40</v>
      </c>
      <c r="BZ440" s="133">
        <v>450</v>
      </c>
      <c r="CA440" s="133">
        <v>105</v>
      </c>
      <c r="CB440" s="133" t="s">
        <v>499</v>
      </c>
      <c r="CC440" s="57" t="s">
        <v>64</v>
      </c>
      <c r="CD440" s="57">
        <v>-13</v>
      </c>
    </row>
    <row r="441" spans="76:82" x14ac:dyDescent="0.25">
      <c r="BX441" s="133">
        <v>14</v>
      </c>
      <c r="BY441" s="133">
        <v>45</v>
      </c>
      <c r="BZ441" s="133">
        <v>450</v>
      </c>
      <c r="CA441" s="133">
        <v>105</v>
      </c>
      <c r="CB441" s="133" t="s">
        <v>500</v>
      </c>
      <c r="CC441" s="57" t="s">
        <v>63</v>
      </c>
      <c r="CD441" s="57">
        <v>-12</v>
      </c>
    </row>
    <row r="442" spans="76:82" x14ac:dyDescent="0.25">
      <c r="BX442" s="133">
        <v>14.5</v>
      </c>
      <c r="BY442" s="133">
        <v>50</v>
      </c>
      <c r="BZ442" s="133">
        <v>450</v>
      </c>
      <c r="CA442" s="133">
        <v>105</v>
      </c>
      <c r="CB442" s="133" t="s">
        <v>501</v>
      </c>
      <c r="CC442" s="57" t="s">
        <v>63</v>
      </c>
      <c r="CD442" s="57">
        <v>-11</v>
      </c>
    </row>
    <row r="443" spans="76:82" x14ac:dyDescent="0.25">
      <c r="BX443" s="133">
        <v>15</v>
      </c>
      <c r="BY443" s="133">
        <v>55</v>
      </c>
      <c r="BZ443" s="133">
        <v>450</v>
      </c>
      <c r="CA443" s="133">
        <v>105</v>
      </c>
      <c r="CB443" s="133" t="s">
        <v>502</v>
      </c>
      <c r="CC443" s="57" t="s">
        <v>63</v>
      </c>
      <c r="CD443" s="57">
        <v>-10</v>
      </c>
    </row>
    <row r="444" spans="76:82" x14ac:dyDescent="0.25">
      <c r="BX444" s="133">
        <v>15.5</v>
      </c>
      <c r="BY444" s="133">
        <v>60</v>
      </c>
      <c r="BZ444" s="133">
        <v>450</v>
      </c>
      <c r="CA444" s="133">
        <v>105</v>
      </c>
      <c r="CB444" s="133" t="s">
        <v>503</v>
      </c>
      <c r="CC444" s="57" t="s">
        <v>62</v>
      </c>
      <c r="CD444" s="57">
        <v>-9</v>
      </c>
    </row>
    <row r="445" spans="76:82" x14ac:dyDescent="0.25">
      <c r="BX445" s="133">
        <v>16</v>
      </c>
      <c r="BY445" s="133">
        <v>65</v>
      </c>
      <c r="BZ445" s="133">
        <v>450</v>
      </c>
      <c r="CA445" s="133">
        <v>105</v>
      </c>
      <c r="CB445" s="133" t="s">
        <v>504</v>
      </c>
      <c r="CC445" s="57" t="s">
        <v>62</v>
      </c>
      <c r="CD445" s="57">
        <v>-8</v>
      </c>
    </row>
    <row r="446" spans="76:82" x14ac:dyDescent="0.25">
      <c r="BX446" s="133">
        <v>16.5</v>
      </c>
      <c r="BY446" s="133">
        <v>70</v>
      </c>
      <c r="BZ446" s="133">
        <v>450</v>
      </c>
      <c r="CA446" s="133">
        <v>105</v>
      </c>
      <c r="CB446" s="133" t="s">
        <v>505</v>
      </c>
      <c r="CC446" s="57" t="s">
        <v>62</v>
      </c>
      <c r="CD446" s="57">
        <v>-7</v>
      </c>
    </row>
    <row r="447" spans="76:82" x14ac:dyDescent="0.25">
      <c r="BX447" s="133">
        <v>17</v>
      </c>
      <c r="BY447" s="133">
        <v>75</v>
      </c>
      <c r="BZ447" s="133">
        <v>450</v>
      </c>
      <c r="CA447" s="133">
        <v>105</v>
      </c>
      <c r="CB447" s="133" t="s">
        <v>506</v>
      </c>
      <c r="CC447" s="57" t="s">
        <v>61</v>
      </c>
      <c r="CD447" s="57">
        <v>-6</v>
      </c>
    </row>
    <row r="448" spans="76:82" x14ac:dyDescent="0.25">
      <c r="BX448" s="133">
        <v>17.5</v>
      </c>
      <c r="BY448" s="133">
        <v>80</v>
      </c>
      <c r="BZ448" s="133">
        <v>450</v>
      </c>
      <c r="CA448" s="133">
        <v>105</v>
      </c>
      <c r="CB448" s="133" t="s">
        <v>507</v>
      </c>
      <c r="CC448" s="57" t="s">
        <v>61</v>
      </c>
      <c r="CD448" s="57">
        <v>-5</v>
      </c>
    </row>
    <row r="449" spans="76:82" x14ac:dyDescent="0.25">
      <c r="BX449" s="133">
        <v>18</v>
      </c>
      <c r="BY449" s="133">
        <v>85</v>
      </c>
      <c r="BZ449" s="133">
        <v>450</v>
      </c>
      <c r="CA449" s="133">
        <v>105</v>
      </c>
      <c r="CB449" s="133" t="s">
        <v>508</v>
      </c>
      <c r="CC449" s="57" t="s">
        <v>61</v>
      </c>
      <c r="CD449" s="57">
        <v>-4</v>
      </c>
    </row>
    <row r="450" spans="76:82" x14ac:dyDescent="0.25">
      <c r="BX450" s="133">
        <v>18.5</v>
      </c>
      <c r="BY450" s="133">
        <v>90</v>
      </c>
      <c r="BZ450" s="133">
        <v>450</v>
      </c>
      <c r="CA450" s="133">
        <v>105</v>
      </c>
      <c r="CB450" s="133" t="s">
        <v>509</v>
      </c>
      <c r="CC450" s="57" t="s">
        <v>60</v>
      </c>
      <c r="CD450" s="57">
        <v>-3</v>
      </c>
    </row>
    <row r="451" spans="76:82" x14ac:dyDescent="0.25">
      <c r="BX451" s="133">
        <v>19</v>
      </c>
      <c r="BY451" s="133">
        <v>95</v>
      </c>
      <c r="BZ451" s="133">
        <v>450</v>
      </c>
      <c r="CA451" s="133">
        <v>105</v>
      </c>
      <c r="CB451" s="133" t="s">
        <v>510</v>
      </c>
      <c r="CC451" s="57" t="s">
        <v>60</v>
      </c>
      <c r="CD451" s="57">
        <v>-2</v>
      </c>
    </row>
    <row r="452" spans="76:82" x14ac:dyDescent="0.25">
      <c r="BX452" s="133">
        <v>19.5</v>
      </c>
      <c r="BY452" s="133">
        <v>100</v>
      </c>
      <c r="BZ452" s="133">
        <v>450</v>
      </c>
      <c r="CA452" s="133">
        <v>105</v>
      </c>
      <c r="CB452" s="133" t="s">
        <v>511</v>
      </c>
      <c r="CC452" s="57" t="s">
        <v>60</v>
      </c>
      <c r="CD452" s="57">
        <v>-1</v>
      </c>
    </row>
    <row r="453" spans="76:82" x14ac:dyDescent="0.25">
      <c r="BX453" s="133">
        <v>20</v>
      </c>
      <c r="BY453" s="133">
        <v>105</v>
      </c>
      <c r="BZ453" s="133">
        <v>450</v>
      </c>
      <c r="CA453" s="133">
        <v>105</v>
      </c>
      <c r="CB453" s="133" t="s">
        <v>512</v>
      </c>
      <c r="CC453" s="57" t="s">
        <v>54</v>
      </c>
      <c r="CD453" s="57">
        <v>0</v>
      </c>
    </row>
    <row r="454" spans="76:82" x14ac:dyDescent="0.25">
      <c r="BX454" s="133">
        <v>20.5</v>
      </c>
      <c r="BY454" s="133">
        <v>110</v>
      </c>
      <c r="BZ454" s="133">
        <v>450</v>
      </c>
      <c r="CA454" s="133">
        <v>105</v>
      </c>
      <c r="CB454" s="133" t="s">
        <v>513</v>
      </c>
      <c r="CC454" s="57" t="s">
        <v>55</v>
      </c>
      <c r="CD454" s="57">
        <v>1</v>
      </c>
    </row>
    <row r="455" spans="76:82" x14ac:dyDescent="0.25">
      <c r="BX455" s="133">
        <v>21</v>
      </c>
      <c r="BY455" s="133">
        <v>115</v>
      </c>
      <c r="BZ455" s="133">
        <v>450</v>
      </c>
      <c r="CA455" s="133">
        <v>105</v>
      </c>
      <c r="CB455" s="133" t="s">
        <v>514</v>
      </c>
      <c r="CC455" s="57" t="s">
        <v>55</v>
      </c>
      <c r="CD455" s="57">
        <v>2</v>
      </c>
    </row>
    <row r="456" spans="76:82" x14ac:dyDescent="0.25">
      <c r="BX456" s="133">
        <v>21.5</v>
      </c>
      <c r="BY456" s="133">
        <v>120</v>
      </c>
      <c r="BZ456" s="133">
        <v>450</v>
      </c>
      <c r="CA456" s="133">
        <v>105</v>
      </c>
      <c r="CB456" s="133" t="s">
        <v>515</v>
      </c>
      <c r="CC456" s="57" t="s">
        <v>55</v>
      </c>
      <c r="CD456" s="57">
        <v>3</v>
      </c>
    </row>
    <row r="457" spans="76:82" x14ac:dyDescent="0.25">
      <c r="BX457" s="133">
        <v>22</v>
      </c>
      <c r="BY457" s="133">
        <v>125</v>
      </c>
      <c r="BZ457" s="133">
        <v>450</v>
      </c>
      <c r="CA457" s="133">
        <v>105</v>
      </c>
      <c r="CB457" s="133" t="s">
        <v>516</v>
      </c>
      <c r="CC457" s="57" t="s">
        <v>56</v>
      </c>
      <c r="CD457" s="57">
        <v>4</v>
      </c>
    </row>
    <row r="458" spans="76:82" x14ac:dyDescent="0.25">
      <c r="BX458" s="133">
        <v>22.5</v>
      </c>
      <c r="BY458" s="133">
        <v>130</v>
      </c>
      <c r="BZ458" s="133">
        <v>450</v>
      </c>
      <c r="CA458" s="133">
        <v>105</v>
      </c>
      <c r="CB458" s="133" t="s">
        <v>517</v>
      </c>
      <c r="CC458" s="57" t="s">
        <v>56</v>
      </c>
      <c r="CD458" s="57">
        <v>5</v>
      </c>
    </row>
    <row r="459" spans="76:82" x14ac:dyDescent="0.25">
      <c r="BX459" s="133">
        <v>23</v>
      </c>
      <c r="BY459" s="133">
        <v>135</v>
      </c>
      <c r="BZ459" s="133">
        <v>450</v>
      </c>
      <c r="CA459" s="133">
        <v>105</v>
      </c>
      <c r="CB459" s="133" t="s">
        <v>518</v>
      </c>
      <c r="CC459" s="57" t="s">
        <v>56</v>
      </c>
      <c r="CD459" s="57">
        <v>6</v>
      </c>
    </row>
    <row r="460" spans="76:82" x14ac:dyDescent="0.25">
      <c r="BX460" s="133">
        <v>23.5</v>
      </c>
      <c r="BY460" s="133">
        <v>140</v>
      </c>
      <c r="BZ460" s="133">
        <v>450</v>
      </c>
      <c r="CA460" s="133">
        <v>105</v>
      </c>
      <c r="CB460" s="133" t="s">
        <v>519</v>
      </c>
      <c r="CC460" s="57" t="s">
        <v>57</v>
      </c>
      <c r="CD460" s="57">
        <v>7</v>
      </c>
    </row>
    <row r="461" spans="76:82" x14ac:dyDescent="0.25">
      <c r="BX461" s="133">
        <v>24</v>
      </c>
      <c r="BY461" s="133">
        <v>145</v>
      </c>
      <c r="BZ461" s="133">
        <v>450</v>
      </c>
      <c r="CA461" s="133">
        <v>105</v>
      </c>
      <c r="CB461" s="133" t="s">
        <v>520</v>
      </c>
      <c r="CC461" s="57" t="s">
        <v>57</v>
      </c>
      <c r="CD461" s="57">
        <v>8</v>
      </c>
    </row>
    <row r="462" spans="76:82" x14ac:dyDescent="0.25">
      <c r="BX462" s="133">
        <v>24.5</v>
      </c>
      <c r="BY462" s="133">
        <v>150</v>
      </c>
      <c r="BZ462" s="133">
        <v>450</v>
      </c>
      <c r="CA462" s="133">
        <v>105</v>
      </c>
      <c r="CB462" s="133" t="s">
        <v>521</v>
      </c>
      <c r="CC462" s="57" t="s">
        <v>57</v>
      </c>
      <c r="CD462" s="57">
        <v>9</v>
      </c>
    </row>
    <row r="463" spans="76:82" x14ac:dyDescent="0.25">
      <c r="BX463" s="133">
        <v>25</v>
      </c>
      <c r="BY463" s="133">
        <v>155</v>
      </c>
      <c r="BZ463" s="133">
        <v>450</v>
      </c>
      <c r="CA463" s="133">
        <v>105</v>
      </c>
      <c r="CB463" s="133" t="s">
        <v>522</v>
      </c>
      <c r="CC463" s="57" t="s">
        <v>58</v>
      </c>
      <c r="CD463" s="57">
        <v>10</v>
      </c>
    </row>
    <row r="464" spans="76:82" x14ac:dyDescent="0.25">
      <c r="BX464" s="133">
        <v>10</v>
      </c>
      <c r="BY464" s="133">
        <v>5</v>
      </c>
      <c r="BZ464" s="133">
        <v>475</v>
      </c>
      <c r="CA464" s="133">
        <v>110</v>
      </c>
      <c r="CB464" s="133" t="s">
        <v>523</v>
      </c>
      <c r="CC464" s="57" t="s">
        <v>64</v>
      </c>
      <c r="CD464" s="57">
        <v>-21</v>
      </c>
    </row>
    <row r="465" spans="76:82" x14ac:dyDescent="0.25">
      <c r="BX465" s="133">
        <v>10.5</v>
      </c>
      <c r="BY465" s="133">
        <v>10</v>
      </c>
      <c r="BZ465" s="133">
        <v>475</v>
      </c>
      <c r="CA465" s="133">
        <v>110</v>
      </c>
      <c r="CB465" s="133" t="s">
        <v>524</v>
      </c>
      <c r="CC465" s="57" t="s">
        <v>64</v>
      </c>
      <c r="CD465" s="57">
        <v>-20</v>
      </c>
    </row>
    <row r="466" spans="76:82" x14ac:dyDescent="0.25">
      <c r="BX466" s="133">
        <v>11</v>
      </c>
      <c r="BY466" s="133">
        <v>15</v>
      </c>
      <c r="BZ466" s="133">
        <v>475</v>
      </c>
      <c r="CA466" s="133">
        <v>110</v>
      </c>
      <c r="CB466" s="133" t="s">
        <v>525</v>
      </c>
      <c r="CC466" s="57" t="s">
        <v>64</v>
      </c>
      <c r="CD466" s="57">
        <v>-19</v>
      </c>
    </row>
    <row r="467" spans="76:82" x14ac:dyDescent="0.25">
      <c r="BX467" s="133">
        <v>11.5</v>
      </c>
      <c r="BY467" s="133">
        <v>20</v>
      </c>
      <c r="BZ467" s="133">
        <v>475</v>
      </c>
      <c r="CA467" s="133">
        <v>110</v>
      </c>
      <c r="CB467" s="133" t="s">
        <v>526</v>
      </c>
      <c r="CC467" s="57" t="s">
        <v>64</v>
      </c>
      <c r="CD467" s="57">
        <v>-18</v>
      </c>
    </row>
    <row r="468" spans="76:82" x14ac:dyDescent="0.25">
      <c r="BX468" s="133">
        <v>12</v>
      </c>
      <c r="BY468" s="133">
        <v>25</v>
      </c>
      <c r="BZ468" s="133">
        <v>475</v>
      </c>
      <c r="CA468" s="133">
        <v>110</v>
      </c>
      <c r="CB468" s="133" t="s">
        <v>527</v>
      </c>
      <c r="CC468" s="57" t="s">
        <v>64</v>
      </c>
      <c r="CD468" s="57">
        <v>-17</v>
      </c>
    </row>
    <row r="469" spans="76:82" x14ac:dyDescent="0.25">
      <c r="BX469" s="133">
        <v>12.5</v>
      </c>
      <c r="BY469" s="133">
        <v>30</v>
      </c>
      <c r="BZ469" s="133">
        <v>475</v>
      </c>
      <c r="CA469" s="133">
        <v>110</v>
      </c>
      <c r="CB469" s="133" t="s">
        <v>528</v>
      </c>
      <c r="CC469" s="57" t="s">
        <v>64</v>
      </c>
      <c r="CD469" s="57">
        <v>-16</v>
      </c>
    </row>
    <row r="470" spans="76:82" x14ac:dyDescent="0.25">
      <c r="BX470" s="133">
        <v>13</v>
      </c>
      <c r="BY470" s="133">
        <v>35</v>
      </c>
      <c r="BZ470" s="133">
        <v>475</v>
      </c>
      <c r="CA470" s="133">
        <v>110</v>
      </c>
      <c r="CB470" s="133" t="s">
        <v>529</v>
      </c>
      <c r="CC470" s="57" t="s">
        <v>64</v>
      </c>
      <c r="CD470" s="57">
        <v>-15</v>
      </c>
    </row>
    <row r="471" spans="76:82" x14ac:dyDescent="0.25">
      <c r="BX471" s="133">
        <v>13.5</v>
      </c>
      <c r="BY471" s="133">
        <v>40</v>
      </c>
      <c r="BZ471" s="133">
        <v>475</v>
      </c>
      <c r="CA471" s="133">
        <v>110</v>
      </c>
      <c r="CB471" s="133" t="s">
        <v>530</v>
      </c>
      <c r="CC471" s="57" t="s">
        <v>64</v>
      </c>
      <c r="CD471" s="57">
        <v>-14</v>
      </c>
    </row>
    <row r="472" spans="76:82" x14ac:dyDescent="0.25">
      <c r="BX472" s="133">
        <v>14</v>
      </c>
      <c r="BY472" s="133">
        <v>45</v>
      </c>
      <c r="BZ472" s="133">
        <v>475</v>
      </c>
      <c r="CA472" s="133">
        <v>110</v>
      </c>
      <c r="CB472" s="133" t="s">
        <v>531</v>
      </c>
      <c r="CC472" s="57" t="s">
        <v>64</v>
      </c>
      <c r="CD472" s="57">
        <v>-13</v>
      </c>
    </row>
    <row r="473" spans="76:82" x14ac:dyDescent="0.25">
      <c r="BX473" s="133">
        <v>14.5</v>
      </c>
      <c r="BY473" s="133">
        <v>50</v>
      </c>
      <c r="BZ473" s="133">
        <v>475</v>
      </c>
      <c r="CA473" s="133">
        <v>110</v>
      </c>
      <c r="CB473" s="133" t="s">
        <v>532</v>
      </c>
      <c r="CC473" s="57" t="s">
        <v>63</v>
      </c>
      <c r="CD473" s="57">
        <v>-12</v>
      </c>
    </row>
    <row r="474" spans="76:82" x14ac:dyDescent="0.25">
      <c r="BX474" s="133">
        <v>15</v>
      </c>
      <c r="BY474" s="133">
        <v>55</v>
      </c>
      <c r="BZ474" s="133">
        <v>475</v>
      </c>
      <c r="CA474" s="133">
        <v>110</v>
      </c>
      <c r="CB474" s="133" t="s">
        <v>533</v>
      </c>
      <c r="CC474" s="57" t="s">
        <v>63</v>
      </c>
      <c r="CD474" s="57">
        <v>-11</v>
      </c>
    </row>
    <row r="475" spans="76:82" x14ac:dyDescent="0.25">
      <c r="BX475" s="133">
        <v>15.5</v>
      </c>
      <c r="BY475" s="133">
        <v>60</v>
      </c>
      <c r="BZ475" s="133">
        <v>475</v>
      </c>
      <c r="CA475" s="133">
        <v>110</v>
      </c>
      <c r="CB475" s="133" t="s">
        <v>534</v>
      </c>
      <c r="CC475" s="57" t="s">
        <v>63</v>
      </c>
      <c r="CD475" s="57">
        <v>-10</v>
      </c>
    </row>
    <row r="476" spans="76:82" x14ac:dyDescent="0.25">
      <c r="BX476" s="133">
        <v>16</v>
      </c>
      <c r="BY476" s="133">
        <v>65</v>
      </c>
      <c r="BZ476" s="133">
        <v>475</v>
      </c>
      <c r="CA476" s="133">
        <v>110</v>
      </c>
      <c r="CB476" s="133" t="s">
        <v>535</v>
      </c>
      <c r="CC476" s="57" t="s">
        <v>62</v>
      </c>
      <c r="CD476" s="57">
        <v>-9</v>
      </c>
    </row>
    <row r="477" spans="76:82" x14ac:dyDescent="0.25">
      <c r="BX477" s="133">
        <v>16.5</v>
      </c>
      <c r="BY477" s="133">
        <v>70</v>
      </c>
      <c r="BZ477" s="133">
        <v>475</v>
      </c>
      <c r="CA477" s="133">
        <v>110</v>
      </c>
      <c r="CB477" s="133" t="s">
        <v>536</v>
      </c>
      <c r="CC477" s="57" t="s">
        <v>62</v>
      </c>
      <c r="CD477" s="57">
        <v>-8</v>
      </c>
    </row>
    <row r="478" spans="76:82" x14ac:dyDescent="0.25">
      <c r="BX478" s="133">
        <v>17</v>
      </c>
      <c r="BY478" s="133">
        <v>75</v>
      </c>
      <c r="BZ478" s="133">
        <v>475</v>
      </c>
      <c r="CA478" s="133">
        <v>110</v>
      </c>
      <c r="CB478" s="133" t="s">
        <v>537</v>
      </c>
      <c r="CC478" s="57" t="s">
        <v>62</v>
      </c>
      <c r="CD478" s="57">
        <v>-7</v>
      </c>
    </row>
    <row r="479" spans="76:82" x14ac:dyDescent="0.25">
      <c r="BX479" s="133">
        <v>17.5</v>
      </c>
      <c r="BY479" s="133">
        <v>80</v>
      </c>
      <c r="BZ479" s="133">
        <v>475</v>
      </c>
      <c r="CA479" s="133">
        <v>110</v>
      </c>
      <c r="CB479" s="133" t="s">
        <v>538</v>
      </c>
      <c r="CC479" s="57" t="s">
        <v>61</v>
      </c>
      <c r="CD479" s="57">
        <v>-6</v>
      </c>
    </row>
    <row r="480" spans="76:82" x14ac:dyDescent="0.25">
      <c r="BX480" s="133">
        <v>18</v>
      </c>
      <c r="BY480" s="133">
        <v>85</v>
      </c>
      <c r="BZ480" s="133">
        <v>475</v>
      </c>
      <c r="CA480" s="133">
        <v>110</v>
      </c>
      <c r="CB480" s="133" t="s">
        <v>539</v>
      </c>
      <c r="CC480" s="57" t="s">
        <v>61</v>
      </c>
      <c r="CD480" s="57">
        <v>-5</v>
      </c>
    </row>
    <row r="481" spans="76:82" x14ac:dyDescent="0.25">
      <c r="BX481" s="133">
        <v>18.5</v>
      </c>
      <c r="BY481" s="133">
        <v>90</v>
      </c>
      <c r="BZ481" s="133">
        <v>475</v>
      </c>
      <c r="CA481" s="133">
        <v>110</v>
      </c>
      <c r="CB481" s="133" t="s">
        <v>540</v>
      </c>
      <c r="CC481" s="57" t="s">
        <v>61</v>
      </c>
      <c r="CD481" s="57">
        <v>-4</v>
      </c>
    </row>
    <row r="482" spans="76:82" x14ac:dyDescent="0.25">
      <c r="BX482" s="133">
        <v>19</v>
      </c>
      <c r="BY482" s="133">
        <v>95</v>
      </c>
      <c r="BZ482" s="133">
        <v>475</v>
      </c>
      <c r="CA482" s="133">
        <v>110</v>
      </c>
      <c r="CB482" s="133" t="s">
        <v>541</v>
      </c>
      <c r="CC482" s="57" t="s">
        <v>60</v>
      </c>
      <c r="CD482" s="57">
        <v>-3</v>
      </c>
    </row>
    <row r="483" spans="76:82" x14ac:dyDescent="0.25">
      <c r="BX483" s="133">
        <v>19.5</v>
      </c>
      <c r="BY483" s="133">
        <v>100</v>
      </c>
      <c r="BZ483" s="133">
        <v>475</v>
      </c>
      <c r="CA483" s="133">
        <v>110</v>
      </c>
      <c r="CB483" s="133" t="s">
        <v>542</v>
      </c>
      <c r="CC483" s="57" t="s">
        <v>60</v>
      </c>
      <c r="CD483" s="57">
        <v>-2</v>
      </c>
    </row>
    <row r="484" spans="76:82" x14ac:dyDescent="0.25">
      <c r="BX484" s="133">
        <v>20</v>
      </c>
      <c r="BY484" s="133">
        <v>105</v>
      </c>
      <c r="BZ484" s="133">
        <v>475</v>
      </c>
      <c r="CA484" s="133">
        <v>110</v>
      </c>
      <c r="CB484" s="133" t="s">
        <v>543</v>
      </c>
      <c r="CC484" s="57" t="s">
        <v>60</v>
      </c>
      <c r="CD484" s="57">
        <v>-1</v>
      </c>
    </row>
    <row r="485" spans="76:82" x14ac:dyDescent="0.25">
      <c r="BX485" s="133">
        <v>20.5</v>
      </c>
      <c r="BY485" s="133">
        <v>110</v>
      </c>
      <c r="BZ485" s="133">
        <v>475</v>
      </c>
      <c r="CA485" s="133">
        <v>110</v>
      </c>
      <c r="CB485" s="133" t="s">
        <v>544</v>
      </c>
      <c r="CC485" s="57" t="s">
        <v>54</v>
      </c>
      <c r="CD485" s="57">
        <v>0</v>
      </c>
    </row>
    <row r="486" spans="76:82" x14ac:dyDescent="0.25">
      <c r="BX486" s="133">
        <v>21</v>
      </c>
      <c r="BY486" s="133">
        <v>115</v>
      </c>
      <c r="BZ486" s="133">
        <v>475</v>
      </c>
      <c r="CA486" s="133">
        <v>110</v>
      </c>
      <c r="CB486" s="133" t="s">
        <v>545</v>
      </c>
      <c r="CC486" s="57" t="s">
        <v>55</v>
      </c>
      <c r="CD486" s="57">
        <v>1</v>
      </c>
    </row>
    <row r="487" spans="76:82" x14ac:dyDescent="0.25">
      <c r="BX487" s="133">
        <v>21.5</v>
      </c>
      <c r="BY487" s="133">
        <v>120</v>
      </c>
      <c r="BZ487" s="133">
        <v>475</v>
      </c>
      <c r="CA487" s="133">
        <v>110</v>
      </c>
      <c r="CB487" s="133" t="s">
        <v>546</v>
      </c>
      <c r="CC487" s="57" t="s">
        <v>55</v>
      </c>
      <c r="CD487" s="57">
        <v>2</v>
      </c>
    </row>
    <row r="488" spans="76:82" x14ac:dyDescent="0.25">
      <c r="BX488" s="133">
        <v>22</v>
      </c>
      <c r="BY488" s="133">
        <v>125</v>
      </c>
      <c r="BZ488" s="133">
        <v>475</v>
      </c>
      <c r="CA488" s="133">
        <v>110</v>
      </c>
      <c r="CB488" s="133" t="s">
        <v>547</v>
      </c>
      <c r="CC488" s="57" t="s">
        <v>55</v>
      </c>
      <c r="CD488" s="57">
        <v>3</v>
      </c>
    </row>
    <row r="489" spans="76:82" x14ac:dyDescent="0.25">
      <c r="BX489" s="133">
        <v>22.5</v>
      </c>
      <c r="BY489" s="133">
        <v>130</v>
      </c>
      <c r="BZ489" s="133">
        <v>475</v>
      </c>
      <c r="CA489" s="133">
        <v>110</v>
      </c>
      <c r="CB489" s="133" t="s">
        <v>548</v>
      </c>
      <c r="CC489" s="57" t="s">
        <v>56</v>
      </c>
      <c r="CD489" s="57">
        <v>4</v>
      </c>
    </row>
    <row r="490" spans="76:82" x14ac:dyDescent="0.25">
      <c r="BX490" s="133">
        <v>23</v>
      </c>
      <c r="BY490" s="133">
        <v>135</v>
      </c>
      <c r="BZ490" s="133">
        <v>475</v>
      </c>
      <c r="CA490" s="133">
        <v>110</v>
      </c>
      <c r="CB490" s="133" t="s">
        <v>549</v>
      </c>
      <c r="CC490" s="57" t="s">
        <v>56</v>
      </c>
      <c r="CD490" s="57">
        <v>5</v>
      </c>
    </row>
    <row r="491" spans="76:82" x14ac:dyDescent="0.25">
      <c r="BX491" s="133">
        <v>23.5</v>
      </c>
      <c r="BY491" s="133">
        <v>140</v>
      </c>
      <c r="BZ491" s="133">
        <v>475</v>
      </c>
      <c r="CA491" s="133">
        <v>110</v>
      </c>
      <c r="CB491" s="133" t="s">
        <v>550</v>
      </c>
      <c r="CC491" s="57" t="s">
        <v>56</v>
      </c>
      <c r="CD491" s="57">
        <v>6</v>
      </c>
    </row>
    <row r="492" spans="76:82" x14ac:dyDescent="0.25">
      <c r="BX492" s="133">
        <v>24</v>
      </c>
      <c r="BY492" s="133">
        <v>145</v>
      </c>
      <c r="BZ492" s="133">
        <v>475</v>
      </c>
      <c r="CA492" s="133">
        <v>110</v>
      </c>
      <c r="CB492" s="133" t="s">
        <v>551</v>
      </c>
      <c r="CC492" s="57" t="s">
        <v>57</v>
      </c>
      <c r="CD492" s="57">
        <v>7</v>
      </c>
    </row>
    <row r="493" spans="76:82" x14ac:dyDescent="0.25">
      <c r="BX493" s="133">
        <v>24.5</v>
      </c>
      <c r="BY493" s="133">
        <v>150</v>
      </c>
      <c r="BZ493" s="133">
        <v>475</v>
      </c>
      <c r="CA493" s="133">
        <v>110</v>
      </c>
      <c r="CB493" s="133" t="s">
        <v>552</v>
      </c>
      <c r="CC493" s="57" t="s">
        <v>57</v>
      </c>
      <c r="CD493" s="57">
        <v>8</v>
      </c>
    </row>
    <row r="494" spans="76:82" x14ac:dyDescent="0.25">
      <c r="BX494" s="133">
        <v>25</v>
      </c>
      <c r="BY494" s="133">
        <v>155</v>
      </c>
      <c r="BZ494" s="133">
        <v>475</v>
      </c>
      <c r="CA494" s="133">
        <v>110</v>
      </c>
      <c r="CB494" s="133" t="s">
        <v>553</v>
      </c>
      <c r="CC494" s="57" t="s">
        <v>57</v>
      </c>
      <c r="CD494" s="57">
        <v>9</v>
      </c>
    </row>
    <row r="495" spans="76:82" x14ac:dyDescent="0.25">
      <c r="BX495" s="133">
        <v>10</v>
      </c>
      <c r="BY495" s="133">
        <v>5</v>
      </c>
      <c r="BZ495" s="133">
        <v>500</v>
      </c>
      <c r="CA495" s="133">
        <v>115</v>
      </c>
      <c r="CB495" s="133" t="s">
        <v>554</v>
      </c>
      <c r="CC495" s="57" t="s">
        <v>64</v>
      </c>
      <c r="CD495" s="57">
        <v>-22</v>
      </c>
    </row>
    <row r="496" spans="76:82" x14ac:dyDescent="0.25">
      <c r="BX496" s="133">
        <v>10.5</v>
      </c>
      <c r="BY496" s="133">
        <v>10</v>
      </c>
      <c r="BZ496" s="133">
        <v>500</v>
      </c>
      <c r="CA496" s="133">
        <v>115</v>
      </c>
      <c r="CB496" s="133" t="s">
        <v>555</v>
      </c>
      <c r="CC496" s="57" t="s">
        <v>64</v>
      </c>
      <c r="CD496" s="57">
        <v>-21</v>
      </c>
    </row>
    <row r="497" spans="38:82" x14ac:dyDescent="0.25">
      <c r="BX497" s="133">
        <v>11</v>
      </c>
      <c r="BY497" s="133">
        <v>15</v>
      </c>
      <c r="BZ497" s="133">
        <v>500</v>
      </c>
      <c r="CA497" s="133">
        <v>115</v>
      </c>
      <c r="CB497" s="133" t="s">
        <v>556</v>
      </c>
      <c r="CC497" s="57" t="s">
        <v>64</v>
      </c>
      <c r="CD497" s="57">
        <v>-20</v>
      </c>
    </row>
    <row r="498" spans="38:82" x14ac:dyDescent="0.25">
      <c r="BX498" s="133">
        <v>11.5</v>
      </c>
      <c r="BY498" s="133">
        <v>20</v>
      </c>
      <c r="BZ498" s="133">
        <v>500</v>
      </c>
      <c r="CA498" s="133">
        <v>115</v>
      </c>
      <c r="CB498" s="133" t="s">
        <v>557</v>
      </c>
      <c r="CC498" s="57" t="s">
        <v>64</v>
      </c>
      <c r="CD498" s="57">
        <v>-19</v>
      </c>
    </row>
    <row r="499" spans="38:82" x14ac:dyDescent="0.25">
      <c r="BX499" s="133">
        <v>12</v>
      </c>
      <c r="BY499" s="133">
        <v>25</v>
      </c>
      <c r="BZ499" s="133">
        <v>500</v>
      </c>
      <c r="CA499" s="133">
        <v>115</v>
      </c>
      <c r="CB499" s="133" t="s">
        <v>558</v>
      </c>
      <c r="CC499" s="57" t="s">
        <v>64</v>
      </c>
      <c r="CD499" s="57">
        <v>-18</v>
      </c>
    </row>
    <row r="500" spans="38:82" x14ac:dyDescent="0.25">
      <c r="BX500" s="133">
        <v>12.5</v>
      </c>
      <c r="BY500" s="133">
        <v>30</v>
      </c>
      <c r="BZ500" s="133">
        <v>500</v>
      </c>
      <c r="CA500" s="133">
        <v>115</v>
      </c>
      <c r="CB500" s="133" t="s">
        <v>559</v>
      </c>
      <c r="CC500" s="57" t="s">
        <v>64</v>
      </c>
      <c r="CD500" s="57">
        <v>-17</v>
      </c>
    </row>
    <row r="501" spans="38:82" x14ac:dyDescent="0.25">
      <c r="BX501" s="133">
        <v>13</v>
      </c>
      <c r="BY501" s="133">
        <v>35</v>
      </c>
      <c r="BZ501" s="133">
        <v>500</v>
      </c>
      <c r="CA501" s="133">
        <v>115</v>
      </c>
      <c r="CB501" s="133" t="s">
        <v>560</v>
      </c>
      <c r="CC501" s="57" t="s">
        <v>64</v>
      </c>
      <c r="CD501" s="57">
        <v>-16</v>
      </c>
    </row>
    <row r="502" spans="38:82" x14ac:dyDescent="0.25">
      <c r="BX502" s="133">
        <v>13.5</v>
      </c>
      <c r="BY502" s="133">
        <v>40</v>
      </c>
      <c r="BZ502" s="133">
        <v>500</v>
      </c>
      <c r="CA502" s="133">
        <v>115</v>
      </c>
      <c r="CB502" s="133" t="s">
        <v>561</v>
      </c>
      <c r="CC502" s="57" t="s">
        <v>64</v>
      </c>
      <c r="CD502" s="57">
        <v>-15</v>
      </c>
    </row>
    <row r="503" spans="38:82" x14ac:dyDescent="0.25">
      <c r="BX503" s="133">
        <v>14</v>
      </c>
      <c r="BY503" s="133">
        <v>45</v>
      </c>
      <c r="BZ503" s="133">
        <v>500</v>
      </c>
      <c r="CA503" s="133">
        <v>115</v>
      </c>
      <c r="CB503" s="133" t="s">
        <v>562</v>
      </c>
      <c r="CC503" s="57" t="s">
        <v>64</v>
      </c>
      <c r="CD503" s="57">
        <v>-14</v>
      </c>
    </row>
    <row r="504" spans="38:82" x14ac:dyDescent="0.25">
      <c r="BX504" s="133">
        <v>14.5</v>
      </c>
      <c r="BY504" s="133">
        <v>50</v>
      </c>
      <c r="BZ504" s="133">
        <v>500</v>
      </c>
      <c r="CA504" s="133">
        <v>115</v>
      </c>
      <c r="CB504" s="133" t="s">
        <v>563</v>
      </c>
      <c r="CC504" s="57" t="s">
        <v>64</v>
      </c>
      <c r="CD504" s="57">
        <v>-13</v>
      </c>
    </row>
    <row r="505" spans="38:82" x14ac:dyDescent="0.25">
      <c r="AL505" s="133"/>
      <c r="BX505" s="133">
        <v>15</v>
      </c>
      <c r="BY505" s="133">
        <v>55</v>
      </c>
      <c r="BZ505" s="133">
        <v>500</v>
      </c>
      <c r="CA505" s="133">
        <v>115</v>
      </c>
      <c r="CB505" s="133" t="s">
        <v>564</v>
      </c>
      <c r="CC505" s="57" t="s">
        <v>63</v>
      </c>
      <c r="CD505" s="57">
        <v>-12</v>
      </c>
    </row>
    <row r="506" spans="38:82" x14ac:dyDescent="0.25">
      <c r="AL506" s="133"/>
      <c r="BX506" s="133">
        <v>15.5</v>
      </c>
      <c r="BY506" s="133">
        <v>60</v>
      </c>
      <c r="BZ506" s="133">
        <v>500</v>
      </c>
      <c r="CA506" s="133">
        <v>115</v>
      </c>
      <c r="CB506" s="133" t="s">
        <v>565</v>
      </c>
      <c r="CC506" s="57" t="s">
        <v>63</v>
      </c>
      <c r="CD506" s="57">
        <v>-11</v>
      </c>
    </row>
    <row r="507" spans="38:82" x14ac:dyDescent="0.25">
      <c r="AL507" s="133"/>
      <c r="BX507" s="133">
        <v>16</v>
      </c>
      <c r="BY507" s="133">
        <v>65</v>
      </c>
      <c r="BZ507" s="133">
        <v>500</v>
      </c>
      <c r="CA507" s="133">
        <v>115</v>
      </c>
      <c r="CB507" s="133" t="s">
        <v>566</v>
      </c>
      <c r="CC507" s="57" t="s">
        <v>63</v>
      </c>
      <c r="CD507" s="57">
        <v>-10</v>
      </c>
    </row>
    <row r="508" spans="38:82" x14ac:dyDescent="0.25">
      <c r="AL508" s="133"/>
      <c r="BX508" s="133">
        <v>16.5</v>
      </c>
      <c r="BY508" s="133">
        <v>70</v>
      </c>
      <c r="BZ508" s="133">
        <v>500</v>
      </c>
      <c r="CA508" s="133">
        <v>115</v>
      </c>
      <c r="CB508" s="133" t="s">
        <v>567</v>
      </c>
      <c r="CC508" s="57" t="s">
        <v>62</v>
      </c>
      <c r="CD508" s="57">
        <v>-9</v>
      </c>
    </row>
    <row r="509" spans="38:82" x14ac:dyDescent="0.25">
      <c r="AL509" s="133"/>
      <c r="BX509" s="133">
        <v>17</v>
      </c>
      <c r="BY509" s="133">
        <v>75</v>
      </c>
      <c r="BZ509" s="133">
        <v>500</v>
      </c>
      <c r="CA509" s="133">
        <v>115</v>
      </c>
      <c r="CB509" s="133" t="s">
        <v>568</v>
      </c>
      <c r="CC509" s="57" t="s">
        <v>62</v>
      </c>
      <c r="CD509" s="57">
        <v>-8</v>
      </c>
    </row>
    <row r="510" spans="38:82" x14ac:dyDescent="0.25">
      <c r="AL510" s="133"/>
      <c r="BX510" s="133">
        <v>17.5</v>
      </c>
      <c r="BY510" s="133">
        <v>80</v>
      </c>
      <c r="BZ510" s="133">
        <v>500</v>
      </c>
      <c r="CA510" s="133">
        <v>115</v>
      </c>
      <c r="CB510" s="133" t="s">
        <v>569</v>
      </c>
      <c r="CC510" s="57" t="s">
        <v>62</v>
      </c>
      <c r="CD510" s="57">
        <v>-7</v>
      </c>
    </row>
    <row r="511" spans="38:82" x14ac:dyDescent="0.25">
      <c r="AL511" s="133"/>
      <c r="BX511" s="133">
        <v>18</v>
      </c>
      <c r="BY511" s="133">
        <v>85</v>
      </c>
      <c r="BZ511" s="133">
        <v>500</v>
      </c>
      <c r="CA511" s="133">
        <v>115</v>
      </c>
      <c r="CB511" s="133" t="s">
        <v>570</v>
      </c>
      <c r="CC511" s="57" t="s">
        <v>61</v>
      </c>
      <c r="CD511" s="57">
        <v>-6</v>
      </c>
    </row>
    <row r="512" spans="38:82" x14ac:dyDescent="0.25">
      <c r="AL512" s="133"/>
      <c r="BX512" s="133">
        <v>18.5</v>
      </c>
      <c r="BY512" s="133">
        <v>90</v>
      </c>
      <c r="BZ512" s="133">
        <v>500</v>
      </c>
      <c r="CA512" s="133">
        <v>115</v>
      </c>
      <c r="CB512" s="133" t="s">
        <v>571</v>
      </c>
      <c r="CC512" s="57" t="s">
        <v>61</v>
      </c>
      <c r="CD512" s="57">
        <v>-5</v>
      </c>
    </row>
    <row r="513" spans="38:82" x14ac:dyDescent="0.25">
      <c r="AL513" s="133"/>
      <c r="BX513" s="133">
        <v>19</v>
      </c>
      <c r="BY513" s="133">
        <v>95</v>
      </c>
      <c r="BZ513" s="133">
        <v>500</v>
      </c>
      <c r="CA513" s="133">
        <v>115</v>
      </c>
      <c r="CB513" s="133" t="s">
        <v>572</v>
      </c>
      <c r="CC513" s="57" t="s">
        <v>61</v>
      </c>
      <c r="CD513" s="57">
        <v>-4</v>
      </c>
    </row>
    <row r="514" spans="38:82" x14ac:dyDescent="0.25">
      <c r="AL514" s="133"/>
      <c r="BX514" s="133">
        <v>19.5</v>
      </c>
      <c r="BY514" s="133">
        <v>100</v>
      </c>
      <c r="BZ514" s="133">
        <v>500</v>
      </c>
      <c r="CA514" s="133">
        <v>115</v>
      </c>
      <c r="CB514" s="133" t="s">
        <v>573</v>
      </c>
      <c r="CC514" s="57" t="s">
        <v>60</v>
      </c>
      <c r="CD514" s="57">
        <v>-3</v>
      </c>
    </row>
    <row r="515" spans="38:82" x14ac:dyDescent="0.25">
      <c r="AL515" s="133"/>
      <c r="BX515" s="133">
        <v>20</v>
      </c>
      <c r="BY515" s="133">
        <v>105</v>
      </c>
      <c r="BZ515" s="133">
        <v>500</v>
      </c>
      <c r="CA515" s="133">
        <v>115</v>
      </c>
      <c r="CB515" s="133" t="s">
        <v>574</v>
      </c>
      <c r="CC515" s="57" t="s">
        <v>60</v>
      </c>
      <c r="CD515" s="57">
        <v>-2</v>
      </c>
    </row>
    <row r="516" spans="38:82" x14ac:dyDescent="0.25">
      <c r="AL516" s="133"/>
      <c r="BX516" s="133">
        <v>20.5</v>
      </c>
      <c r="BY516" s="133">
        <v>110</v>
      </c>
      <c r="BZ516" s="133">
        <v>500</v>
      </c>
      <c r="CA516" s="133">
        <v>115</v>
      </c>
      <c r="CB516" s="133" t="s">
        <v>575</v>
      </c>
      <c r="CC516" s="57" t="s">
        <v>60</v>
      </c>
      <c r="CD516" s="57">
        <v>-1</v>
      </c>
    </row>
    <row r="517" spans="38:82" x14ac:dyDescent="0.25">
      <c r="AL517" s="133"/>
      <c r="BX517" s="133">
        <v>21</v>
      </c>
      <c r="BY517" s="133">
        <v>115</v>
      </c>
      <c r="BZ517" s="133">
        <v>500</v>
      </c>
      <c r="CA517" s="133">
        <v>115</v>
      </c>
      <c r="CB517" s="133" t="s">
        <v>576</v>
      </c>
      <c r="CC517" s="57" t="s">
        <v>54</v>
      </c>
      <c r="CD517" s="57">
        <v>0</v>
      </c>
    </row>
    <row r="518" spans="38:82" x14ac:dyDescent="0.25">
      <c r="AL518" s="133"/>
      <c r="BX518" s="133">
        <v>21.5</v>
      </c>
      <c r="BY518" s="133">
        <v>120</v>
      </c>
      <c r="BZ518" s="133">
        <v>500</v>
      </c>
      <c r="CA518" s="133">
        <v>115</v>
      </c>
      <c r="CB518" s="133" t="s">
        <v>577</v>
      </c>
      <c r="CC518" s="57" t="s">
        <v>55</v>
      </c>
      <c r="CD518" s="57">
        <v>1</v>
      </c>
    </row>
    <row r="519" spans="38:82" x14ac:dyDescent="0.25">
      <c r="AL519" s="133"/>
      <c r="BX519" s="133">
        <v>22</v>
      </c>
      <c r="BY519" s="133">
        <v>125</v>
      </c>
      <c r="BZ519" s="133">
        <v>500</v>
      </c>
      <c r="CA519" s="133">
        <v>115</v>
      </c>
      <c r="CB519" s="133" t="s">
        <v>578</v>
      </c>
      <c r="CC519" s="57" t="s">
        <v>55</v>
      </c>
      <c r="CD519" s="57">
        <v>2</v>
      </c>
    </row>
    <row r="520" spans="38:82" x14ac:dyDescent="0.25">
      <c r="AL520" s="133"/>
      <c r="BX520" s="133">
        <v>22.5</v>
      </c>
      <c r="BY520" s="133">
        <v>130</v>
      </c>
      <c r="BZ520" s="133">
        <v>500</v>
      </c>
      <c r="CA520" s="133">
        <v>115</v>
      </c>
      <c r="CB520" s="133" t="s">
        <v>579</v>
      </c>
      <c r="CC520" s="57" t="s">
        <v>55</v>
      </c>
      <c r="CD520" s="57">
        <v>3</v>
      </c>
    </row>
    <row r="521" spans="38:82" x14ac:dyDescent="0.25">
      <c r="AL521" s="133"/>
      <c r="BX521" s="133">
        <v>23</v>
      </c>
      <c r="BY521" s="133">
        <v>135</v>
      </c>
      <c r="BZ521" s="133">
        <v>500</v>
      </c>
      <c r="CA521" s="133">
        <v>115</v>
      </c>
      <c r="CB521" s="133" t="s">
        <v>580</v>
      </c>
      <c r="CC521" s="57" t="s">
        <v>56</v>
      </c>
      <c r="CD521" s="57">
        <v>4</v>
      </c>
    </row>
    <row r="522" spans="38:82" x14ac:dyDescent="0.25">
      <c r="AL522" s="133"/>
      <c r="BX522" s="133">
        <v>23.5</v>
      </c>
      <c r="BY522" s="133">
        <v>140</v>
      </c>
      <c r="BZ522" s="133">
        <v>500</v>
      </c>
      <c r="CA522" s="133">
        <v>115</v>
      </c>
      <c r="CB522" s="133" t="s">
        <v>581</v>
      </c>
      <c r="CC522" s="57" t="s">
        <v>56</v>
      </c>
      <c r="CD522" s="57">
        <v>5</v>
      </c>
    </row>
    <row r="523" spans="38:82" x14ac:dyDescent="0.25">
      <c r="AL523" s="133"/>
      <c r="BX523" s="133">
        <v>24</v>
      </c>
      <c r="BY523" s="133">
        <v>145</v>
      </c>
      <c r="BZ523" s="133">
        <v>500</v>
      </c>
      <c r="CA523" s="133">
        <v>115</v>
      </c>
      <c r="CB523" s="133" t="s">
        <v>582</v>
      </c>
      <c r="CC523" s="57" t="s">
        <v>56</v>
      </c>
      <c r="CD523" s="57">
        <v>6</v>
      </c>
    </row>
    <row r="524" spans="38:82" x14ac:dyDescent="0.25">
      <c r="AL524" s="133"/>
      <c r="BX524" s="133">
        <v>24.5</v>
      </c>
      <c r="BY524" s="133">
        <v>150</v>
      </c>
      <c r="BZ524" s="133">
        <v>500</v>
      </c>
      <c r="CA524" s="133">
        <v>115</v>
      </c>
      <c r="CB524" s="133" t="s">
        <v>583</v>
      </c>
      <c r="CC524" s="57" t="s">
        <v>57</v>
      </c>
      <c r="CD524" s="57">
        <v>7</v>
      </c>
    </row>
    <row r="525" spans="38:82" x14ac:dyDescent="0.25">
      <c r="AL525" s="133"/>
      <c r="BX525" s="133">
        <v>25</v>
      </c>
      <c r="BY525" s="133">
        <v>155</v>
      </c>
      <c r="BZ525" s="133">
        <v>500</v>
      </c>
      <c r="CA525" s="133">
        <v>115</v>
      </c>
      <c r="CB525" s="133" t="s">
        <v>584</v>
      </c>
      <c r="CC525" s="57" t="s">
        <v>57</v>
      </c>
      <c r="CD525" s="57">
        <v>8</v>
      </c>
    </row>
    <row r="526" spans="38:82" x14ac:dyDescent="0.25">
      <c r="AL526" s="133"/>
      <c r="BX526" s="133">
        <v>10</v>
      </c>
      <c r="BY526" s="133">
        <v>5</v>
      </c>
      <c r="BZ526" s="133">
        <v>525</v>
      </c>
      <c r="CA526" s="133">
        <v>120</v>
      </c>
      <c r="CB526" s="133" t="s">
        <v>585</v>
      </c>
      <c r="CC526" s="57" t="s">
        <v>64</v>
      </c>
      <c r="CD526" s="57">
        <v>-23</v>
      </c>
    </row>
    <row r="527" spans="38:82" x14ac:dyDescent="0.25">
      <c r="AL527" s="133"/>
      <c r="BX527" s="133">
        <v>10.5</v>
      </c>
      <c r="BY527" s="133">
        <v>10</v>
      </c>
      <c r="BZ527" s="133">
        <v>525</v>
      </c>
      <c r="CA527" s="133">
        <v>120</v>
      </c>
      <c r="CB527" s="133" t="s">
        <v>586</v>
      </c>
      <c r="CC527" s="57" t="s">
        <v>64</v>
      </c>
      <c r="CD527" s="57">
        <v>-22</v>
      </c>
    </row>
    <row r="528" spans="38:82" x14ac:dyDescent="0.25">
      <c r="AL528" s="133"/>
      <c r="BX528" s="133">
        <v>11</v>
      </c>
      <c r="BY528" s="133">
        <v>15</v>
      </c>
      <c r="BZ528" s="133">
        <v>525</v>
      </c>
      <c r="CA528" s="133">
        <v>120</v>
      </c>
      <c r="CB528" s="133" t="s">
        <v>587</v>
      </c>
      <c r="CC528" s="57" t="s">
        <v>64</v>
      </c>
      <c r="CD528" s="57">
        <v>-21</v>
      </c>
    </row>
    <row r="529" spans="38:82" x14ac:dyDescent="0.25">
      <c r="AL529" s="133"/>
      <c r="BX529" s="133">
        <v>11.5</v>
      </c>
      <c r="BY529" s="133">
        <v>20</v>
      </c>
      <c r="BZ529" s="133">
        <v>525</v>
      </c>
      <c r="CA529" s="133">
        <v>120</v>
      </c>
      <c r="CB529" s="133" t="s">
        <v>588</v>
      </c>
      <c r="CC529" s="57" t="s">
        <v>64</v>
      </c>
      <c r="CD529" s="57">
        <v>-20</v>
      </c>
    </row>
    <row r="530" spans="38:82" x14ac:dyDescent="0.25">
      <c r="AL530" s="133"/>
      <c r="BX530" s="133">
        <v>12</v>
      </c>
      <c r="BY530" s="133">
        <v>25</v>
      </c>
      <c r="BZ530" s="133">
        <v>525</v>
      </c>
      <c r="CA530" s="133">
        <v>120</v>
      </c>
      <c r="CB530" s="133" t="s">
        <v>589</v>
      </c>
      <c r="CC530" s="57" t="s">
        <v>64</v>
      </c>
      <c r="CD530" s="57">
        <v>-19</v>
      </c>
    </row>
    <row r="531" spans="38:82" x14ac:dyDescent="0.25">
      <c r="AL531" s="133"/>
      <c r="BX531" s="133">
        <v>12.5</v>
      </c>
      <c r="BY531" s="133">
        <v>30</v>
      </c>
      <c r="BZ531" s="133">
        <v>525</v>
      </c>
      <c r="CA531" s="133">
        <v>120</v>
      </c>
      <c r="CB531" s="133" t="s">
        <v>590</v>
      </c>
      <c r="CC531" s="57" t="s">
        <v>64</v>
      </c>
      <c r="CD531" s="57">
        <v>-18</v>
      </c>
    </row>
    <row r="532" spans="38:82" x14ac:dyDescent="0.25">
      <c r="AL532" s="133"/>
      <c r="BX532" s="133">
        <v>13</v>
      </c>
      <c r="BY532" s="133">
        <v>35</v>
      </c>
      <c r="BZ532" s="133">
        <v>525</v>
      </c>
      <c r="CA532" s="133">
        <v>120</v>
      </c>
      <c r="CB532" s="133" t="s">
        <v>591</v>
      </c>
      <c r="CC532" s="57" t="s">
        <v>64</v>
      </c>
      <c r="CD532" s="57">
        <v>-17</v>
      </c>
    </row>
    <row r="533" spans="38:82" x14ac:dyDescent="0.25">
      <c r="AL533" s="133"/>
      <c r="BX533" s="133">
        <v>13.5</v>
      </c>
      <c r="BY533" s="133">
        <v>40</v>
      </c>
      <c r="BZ533" s="133">
        <v>525</v>
      </c>
      <c r="CA533" s="133">
        <v>120</v>
      </c>
      <c r="CB533" s="133" t="s">
        <v>592</v>
      </c>
      <c r="CC533" s="57" t="s">
        <v>64</v>
      </c>
      <c r="CD533" s="57">
        <v>-16</v>
      </c>
    </row>
    <row r="534" spans="38:82" x14ac:dyDescent="0.25">
      <c r="AL534" s="133"/>
      <c r="BX534" s="133">
        <v>14</v>
      </c>
      <c r="BY534" s="133">
        <v>45</v>
      </c>
      <c r="BZ534" s="133">
        <v>525</v>
      </c>
      <c r="CA534" s="133">
        <v>120</v>
      </c>
      <c r="CB534" s="133" t="s">
        <v>593</v>
      </c>
      <c r="CC534" s="57" t="s">
        <v>64</v>
      </c>
      <c r="CD534" s="57">
        <v>-15</v>
      </c>
    </row>
    <row r="535" spans="38:82" x14ac:dyDescent="0.25">
      <c r="AL535" s="133"/>
      <c r="BX535" s="133">
        <v>14.5</v>
      </c>
      <c r="BY535" s="133">
        <v>50</v>
      </c>
      <c r="BZ535" s="133">
        <v>525</v>
      </c>
      <c r="CA535" s="133">
        <v>120</v>
      </c>
      <c r="CB535" s="133" t="s">
        <v>594</v>
      </c>
      <c r="CC535" s="57" t="s">
        <v>64</v>
      </c>
      <c r="CD535" s="57">
        <v>-14</v>
      </c>
    </row>
    <row r="536" spans="38:82" x14ac:dyDescent="0.25">
      <c r="AL536" s="133"/>
      <c r="BX536" s="133">
        <v>15</v>
      </c>
      <c r="BY536" s="133">
        <v>55</v>
      </c>
      <c r="BZ536" s="133">
        <v>525</v>
      </c>
      <c r="CA536" s="133">
        <v>120</v>
      </c>
      <c r="CB536" s="133" t="s">
        <v>595</v>
      </c>
      <c r="CC536" s="57" t="s">
        <v>64</v>
      </c>
      <c r="CD536" s="57">
        <v>-13</v>
      </c>
    </row>
    <row r="537" spans="38:82" x14ac:dyDescent="0.25">
      <c r="AL537" s="133"/>
      <c r="BX537" s="133">
        <v>15.5</v>
      </c>
      <c r="BY537" s="133">
        <v>60</v>
      </c>
      <c r="BZ537" s="133">
        <v>525</v>
      </c>
      <c r="CA537" s="133">
        <v>120</v>
      </c>
      <c r="CB537" s="133" t="s">
        <v>596</v>
      </c>
      <c r="CC537" s="57" t="s">
        <v>63</v>
      </c>
      <c r="CD537" s="57">
        <v>-12</v>
      </c>
    </row>
    <row r="538" spans="38:82" x14ac:dyDescent="0.25">
      <c r="AL538" s="133"/>
      <c r="BX538" s="133">
        <v>16</v>
      </c>
      <c r="BY538" s="133">
        <v>65</v>
      </c>
      <c r="BZ538" s="133">
        <v>525</v>
      </c>
      <c r="CA538" s="133">
        <v>120</v>
      </c>
      <c r="CB538" s="133" t="s">
        <v>597</v>
      </c>
      <c r="CC538" s="57" t="s">
        <v>63</v>
      </c>
      <c r="CD538" s="57">
        <v>-11</v>
      </c>
    </row>
    <row r="539" spans="38:82" x14ac:dyDescent="0.25">
      <c r="AL539" s="133"/>
      <c r="BX539" s="133">
        <v>16.5</v>
      </c>
      <c r="BY539" s="133">
        <v>70</v>
      </c>
      <c r="BZ539" s="133">
        <v>525</v>
      </c>
      <c r="CA539" s="133">
        <v>120</v>
      </c>
      <c r="CB539" s="133" t="s">
        <v>598</v>
      </c>
      <c r="CC539" s="57" t="s">
        <v>63</v>
      </c>
      <c r="CD539" s="57">
        <v>-10</v>
      </c>
    </row>
    <row r="540" spans="38:82" x14ac:dyDescent="0.25">
      <c r="AL540" s="133"/>
      <c r="BX540" s="133">
        <v>17</v>
      </c>
      <c r="BY540" s="133">
        <v>75</v>
      </c>
      <c r="BZ540" s="133">
        <v>525</v>
      </c>
      <c r="CA540" s="133">
        <v>120</v>
      </c>
      <c r="CB540" s="133" t="s">
        <v>599</v>
      </c>
      <c r="CC540" s="57" t="s">
        <v>62</v>
      </c>
      <c r="CD540" s="57">
        <v>-9</v>
      </c>
    </row>
    <row r="541" spans="38:82" x14ac:dyDescent="0.25">
      <c r="AL541" s="133"/>
      <c r="BX541" s="133">
        <v>17.5</v>
      </c>
      <c r="BY541" s="133">
        <v>80</v>
      </c>
      <c r="BZ541" s="133">
        <v>525</v>
      </c>
      <c r="CA541" s="133">
        <v>120</v>
      </c>
      <c r="CB541" s="133" t="s">
        <v>600</v>
      </c>
      <c r="CC541" s="57" t="s">
        <v>62</v>
      </c>
      <c r="CD541" s="57">
        <v>-8</v>
      </c>
    </row>
    <row r="542" spans="38:82" x14ac:dyDescent="0.25">
      <c r="AL542" s="133"/>
      <c r="BX542" s="133">
        <v>18</v>
      </c>
      <c r="BY542" s="133">
        <v>85</v>
      </c>
      <c r="BZ542" s="133">
        <v>525</v>
      </c>
      <c r="CA542" s="133">
        <v>120</v>
      </c>
      <c r="CB542" s="133" t="s">
        <v>601</v>
      </c>
      <c r="CC542" s="57" t="s">
        <v>62</v>
      </c>
      <c r="CD542" s="57">
        <v>-7</v>
      </c>
    </row>
    <row r="543" spans="38:82" x14ac:dyDescent="0.25">
      <c r="AL543" s="133"/>
      <c r="BX543" s="133">
        <v>18.5</v>
      </c>
      <c r="BY543" s="133">
        <v>90</v>
      </c>
      <c r="BZ543" s="133">
        <v>525</v>
      </c>
      <c r="CA543" s="133">
        <v>120</v>
      </c>
      <c r="CB543" s="133" t="s">
        <v>602</v>
      </c>
      <c r="CC543" s="57" t="s">
        <v>61</v>
      </c>
      <c r="CD543" s="57">
        <v>-6</v>
      </c>
    </row>
    <row r="544" spans="38:82" x14ac:dyDescent="0.25">
      <c r="AL544" s="133"/>
      <c r="BX544" s="133">
        <v>19</v>
      </c>
      <c r="BY544" s="133">
        <v>95</v>
      </c>
      <c r="BZ544" s="133">
        <v>525</v>
      </c>
      <c r="CA544" s="133">
        <v>120</v>
      </c>
      <c r="CB544" s="133" t="s">
        <v>603</v>
      </c>
      <c r="CC544" s="57" t="s">
        <v>61</v>
      </c>
      <c r="CD544" s="57">
        <v>-5</v>
      </c>
    </row>
    <row r="545" spans="38:82" x14ac:dyDescent="0.25">
      <c r="AL545" s="133"/>
      <c r="BX545" s="133">
        <v>19.5</v>
      </c>
      <c r="BY545" s="133">
        <v>100</v>
      </c>
      <c r="BZ545" s="133">
        <v>525</v>
      </c>
      <c r="CA545" s="133">
        <v>120</v>
      </c>
      <c r="CB545" s="133" t="s">
        <v>604</v>
      </c>
      <c r="CC545" s="57" t="s">
        <v>61</v>
      </c>
      <c r="CD545" s="57">
        <v>-4</v>
      </c>
    </row>
    <row r="546" spans="38:82" x14ac:dyDescent="0.25">
      <c r="AL546" s="133"/>
      <c r="BX546" s="133">
        <v>20</v>
      </c>
      <c r="BY546" s="133">
        <v>105</v>
      </c>
      <c r="BZ546" s="133">
        <v>525</v>
      </c>
      <c r="CA546" s="133">
        <v>120</v>
      </c>
      <c r="CB546" s="133" t="s">
        <v>605</v>
      </c>
      <c r="CC546" s="57" t="s">
        <v>60</v>
      </c>
      <c r="CD546" s="57">
        <v>-3</v>
      </c>
    </row>
    <row r="547" spans="38:82" x14ac:dyDescent="0.25">
      <c r="AL547" s="133"/>
      <c r="BX547" s="133">
        <v>20.5</v>
      </c>
      <c r="BY547" s="133">
        <v>110</v>
      </c>
      <c r="BZ547" s="133">
        <v>525</v>
      </c>
      <c r="CA547" s="133">
        <v>120</v>
      </c>
      <c r="CB547" s="133" t="s">
        <v>606</v>
      </c>
      <c r="CC547" s="57" t="s">
        <v>60</v>
      </c>
      <c r="CD547" s="57">
        <v>-2</v>
      </c>
    </row>
    <row r="548" spans="38:82" x14ac:dyDescent="0.25">
      <c r="AL548" s="133"/>
      <c r="BX548" s="133">
        <v>21</v>
      </c>
      <c r="BY548" s="133">
        <v>115</v>
      </c>
      <c r="BZ548" s="133">
        <v>525</v>
      </c>
      <c r="CA548" s="133">
        <v>120</v>
      </c>
      <c r="CB548" s="133" t="s">
        <v>607</v>
      </c>
      <c r="CC548" s="57" t="s">
        <v>60</v>
      </c>
      <c r="CD548" s="57">
        <v>-1</v>
      </c>
    </row>
    <row r="549" spans="38:82" x14ac:dyDescent="0.25">
      <c r="AL549" s="133"/>
      <c r="BX549" s="133">
        <v>21.5</v>
      </c>
      <c r="BY549" s="133">
        <v>120</v>
      </c>
      <c r="BZ549" s="133">
        <v>525</v>
      </c>
      <c r="CA549" s="133">
        <v>120</v>
      </c>
      <c r="CB549" s="133" t="s">
        <v>608</v>
      </c>
      <c r="CC549" s="57" t="s">
        <v>54</v>
      </c>
      <c r="CD549" s="57">
        <v>0</v>
      </c>
    </row>
    <row r="550" spans="38:82" x14ac:dyDescent="0.25">
      <c r="AL550" s="133"/>
      <c r="BX550" s="133">
        <v>22</v>
      </c>
      <c r="BY550" s="133">
        <v>125</v>
      </c>
      <c r="BZ550" s="133">
        <v>525</v>
      </c>
      <c r="CA550" s="133">
        <v>120</v>
      </c>
      <c r="CB550" s="133" t="s">
        <v>609</v>
      </c>
      <c r="CC550" s="57" t="s">
        <v>55</v>
      </c>
      <c r="CD550" s="57">
        <v>1</v>
      </c>
    </row>
    <row r="551" spans="38:82" x14ac:dyDescent="0.25">
      <c r="AL551" s="133"/>
      <c r="BX551" s="133">
        <v>22.5</v>
      </c>
      <c r="BY551" s="133">
        <v>130</v>
      </c>
      <c r="BZ551" s="133">
        <v>525</v>
      </c>
      <c r="CA551" s="133">
        <v>120</v>
      </c>
      <c r="CB551" s="133" t="s">
        <v>610</v>
      </c>
      <c r="CC551" s="57" t="s">
        <v>55</v>
      </c>
      <c r="CD551" s="57">
        <v>2</v>
      </c>
    </row>
    <row r="552" spans="38:82" x14ac:dyDescent="0.25">
      <c r="AL552" s="133"/>
      <c r="BX552" s="133">
        <v>23</v>
      </c>
      <c r="BY552" s="133">
        <v>135</v>
      </c>
      <c r="BZ552" s="133">
        <v>525</v>
      </c>
      <c r="CA552" s="133">
        <v>120</v>
      </c>
      <c r="CB552" s="133" t="s">
        <v>611</v>
      </c>
      <c r="CC552" s="57" t="s">
        <v>55</v>
      </c>
      <c r="CD552" s="57">
        <v>3</v>
      </c>
    </row>
    <row r="553" spans="38:82" x14ac:dyDescent="0.25">
      <c r="AL553" s="133"/>
      <c r="BX553" s="133">
        <v>23.5</v>
      </c>
      <c r="BY553" s="133">
        <v>140</v>
      </c>
      <c r="BZ553" s="133">
        <v>525</v>
      </c>
      <c r="CA553" s="133">
        <v>120</v>
      </c>
      <c r="CB553" s="133" t="s">
        <v>612</v>
      </c>
      <c r="CC553" s="57" t="s">
        <v>56</v>
      </c>
      <c r="CD553" s="57">
        <v>4</v>
      </c>
    </row>
    <row r="554" spans="38:82" x14ac:dyDescent="0.25">
      <c r="AL554" s="133"/>
      <c r="BX554" s="133">
        <v>24</v>
      </c>
      <c r="BY554" s="133">
        <v>145</v>
      </c>
      <c r="BZ554" s="133">
        <v>525</v>
      </c>
      <c r="CA554" s="133">
        <v>120</v>
      </c>
      <c r="CB554" s="133" t="s">
        <v>613</v>
      </c>
      <c r="CC554" s="57" t="s">
        <v>56</v>
      </c>
      <c r="CD554" s="57">
        <v>5</v>
      </c>
    </row>
    <row r="555" spans="38:82" x14ac:dyDescent="0.25">
      <c r="AL555" s="133"/>
      <c r="BX555" s="133">
        <v>24.5</v>
      </c>
      <c r="BY555" s="133">
        <v>150</v>
      </c>
      <c r="BZ555" s="133">
        <v>525</v>
      </c>
      <c r="CA555" s="133">
        <v>120</v>
      </c>
      <c r="CB555" s="133" t="s">
        <v>614</v>
      </c>
      <c r="CC555" s="57" t="s">
        <v>56</v>
      </c>
      <c r="CD555" s="57">
        <v>6</v>
      </c>
    </row>
    <row r="556" spans="38:82" x14ac:dyDescent="0.25">
      <c r="AL556" s="133"/>
      <c r="BX556" s="133">
        <v>25</v>
      </c>
      <c r="BY556" s="133">
        <v>155</v>
      </c>
      <c r="BZ556" s="133">
        <v>525</v>
      </c>
      <c r="CA556" s="133">
        <v>120</v>
      </c>
      <c r="CB556" s="133" t="s">
        <v>615</v>
      </c>
      <c r="CC556" s="57" t="s">
        <v>57</v>
      </c>
      <c r="CD556" s="57">
        <v>7</v>
      </c>
    </row>
    <row r="557" spans="38:82" x14ac:dyDescent="0.25">
      <c r="AL557" s="133"/>
      <c r="BX557" s="133">
        <v>10</v>
      </c>
      <c r="BY557" s="133">
        <v>5</v>
      </c>
      <c r="BZ557" s="133">
        <v>550</v>
      </c>
      <c r="CA557" s="133">
        <v>125</v>
      </c>
      <c r="CB557" s="133" t="s">
        <v>616</v>
      </c>
      <c r="CC557" s="57" t="s">
        <v>64</v>
      </c>
      <c r="CD557" s="57">
        <v>-24</v>
      </c>
    </row>
    <row r="558" spans="38:82" x14ac:dyDescent="0.25">
      <c r="AL558" s="133"/>
      <c r="BX558" s="133">
        <v>10.5</v>
      </c>
      <c r="BY558" s="133">
        <v>10</v>
      </c>
      <c r="BZ558" s="133">
        <v>550</v>
      </c>
      <c r="CA558" s="133">
        <v>125</v>
      </c>
      <c r="CB558" s="133" t="s">
        <v>617</v>
      </c>
      <c r="CC558" s="57" t="s">
        <v>64</v>
      </c>
      <c r="CD558" s="57">
        <v>-23</v>
      </c>
    </row>
    <row r="559" spans="38:82" x14ac:dyDescent="0.25">
      <c r="AL559" s="133"/>
      <c r="BX559" s="133">
        <v>11</v>
      </c>
      <c r="BY559" s="133">
        <v>15</v>
      </c>
      <c r="BZ559" s="133">
        <v>550</v>
      </c>
      <c r="CA559" s="133">
        <v>125</v>
      </c>
      <c r="CB559" s="133" t="s">
        <v>618</v>
      </c>
      <c r="CC559" s="57" t="s">
        <v>64</v>
      </c>
      <c r="CD559" s="57">
        <v>-22</v>
      </c>
    </row>
    <row r="560" spans="38:82" x14ac:dyDescent="0.25">
      <c r="AL560" s="133"/>
      <c r="BX560" s="133">
        <v>11.5</v>
      </c>
      <c r="BY560" s="133">
        <v>20</v>
      </c>
      <c r="BZ560" s="133">
        <v>550</v>
      </c>
      <c r="CA560" s="133">
        <v>125</v>
      </c>
      <c r="CB560" s="133" t="s">
        <v>619</v>
      </c>
      <c r="CC560" s="57" t="s">
        <v>64</v>
      </c>
      <c r="CD560" s="57">
        <v>-21</v>
      </c>
    </row>
    <row r="561" spans="38:82" x14ac:dyDescent="0.25">
      <c r="AL561" s="133"/>
      <c r="BX561" s="133">
        <v>12</v>
      </c>
      <c r="BY561" s="133">
        <v>25</v>
      </c>
      <c r="BZ561" s="133">
        <v>550</v>
      </c>
      <c r="CA561" s="133">
        <v>125</v>
      </c>
      <c r="CB561" s="133" t="s">
        <v>620</v>
      </c>
      <c r="CC561" s="57" t="s">
        <v>64</v>
      </c>
      <c r="CD561" s="57">
        <v>-20</v>
      </c>
    </row>
    <row r="562" spans="38:82" x14ac:dyDescent="0.25">
      <c r="AL562" s="133"/>
      <c r="BX562" s="133">
        <v>12.5</v>
      </c>
      <c r="BY562" s="133">
        <v>30</v>
      </c>
      <c r="BZ562" s="133">
        <v>550</v>
      </c>
      <c r="CA562" s="133">
        <v>125</v>
      </c>
      <c r="CB562" s="133" t="s">
        <v>621</v>
      </c>
      <c r="CC562" s="57" t="s">
        <v>64</v>
      </c>
      <c r="CD562" s="57">
        <v>-19</v>
      </c>
    </row>
    <row r="563" spans="38:82" x14ac:dyDescent="0.25">
      <c r="AL563" s="133"/>
      <c r="BX563" s="133">
        <v>13</v>
      </c>
      <c r="BY563" s="133">
        <v>35</v>
      </c>
      <c r="BZ563" s="133">
        <v>550</v>
      </c>
      <c r="CA563" s="133">
        <v>125</v>
      </c>
      <c r="CB563" s="133" t="s">
        <v>622</v>
      </c>
      <c r="CC563" s="57" t="s">
        <v>64</v>
      </c>
      <c r="CD563" s="57">
        <v>-18</v>
      </c>
    </row>
    <row r="564" spans="38:82" x14ac:dyDescent="0.25">
      <c r="AL564" s="133"/>
      <c r="BX564" s="133">
        <v>13.5</v>
      </c>
      <c r="BY564" s="133">
        <v>40</v>
      </c>
      <c r="BZ564" s="133">
        <v>550</v>
      </c>
      <c r="CA564" s="133">
        <v>125</v>
      </c>
      <c r="CB564" s="133" t="s">
        <v>623</v>
      </c>
      <c r="CC564" s="57" t="s">
        <v>64</v>
      </c>
      <c r="CD564" s="57">
        <v>-17</v>
      </c>
    </row>
    <row r="565" spans="38:82" x14ac:dyDescent="0.25">
      <c r="AL565" s="133"/>
      <c r="BX565" s="133">
        <v>14</v>
      </c>
      <c r="BY565" s="133">
        <v>45</v>
      </c>
      <c r="BZ565" s="133">
        <v>550</v>
      </c>
      <c r="CA565" s="133">
        <v>125</v>
      </c>
      <c r="CB565" s="133" t="s">
        <v>624</v>
      </c>
      <c r="CC565" s="57" t="s">
        <v>64</v>
      </c>
      <c r="CD565" s="57">
        <v>-16</v>
      </c>
    </row>
    <row r="566" spans="38:82" x14ac:dyDescent="0.25">
      <c r="AL566" s="133"/>
      <c r="BX566" s="133">
        <v>14.5</v>
      </c>
      <c r="BY566" s="133">
        <v>50</v>
      </c>
      <c r="BZ566" s="133">
        <v>550</v>
      </c>
      <c r="CA566" s="133">
        <v>125</v>
      </c>
      <c r="CB566" s="133" t="s">
        <v>625</v>
      </c>
      <c r="CC566" s="57" t="s">
        <v>64</v>
      </c>
      <c r="CD566" s="57">
        <v>-15</v>
      </c>
    </row>
    <row r="567" spans="38:82" x14ac:dyDescent="0.25">
      <c r="AL567" s="133"/>
      <c r="BX567" s="133">
        <v>15</v>
      </c>
      <c r="BY567" s="133">
        <v>55</v>
      </c>
      <c r="BZ567" s="133">
        <v>550</v>
      </c>
      <c r="CA567" s="133">
        <v>125</v>
      </c>
      <c r="CB567" s="133" t="s">
        <v>626</v>
      </c>
      <c r="CC567" s="57" t="s">
        <v>64</v>
      </c>
      <c r="CD567" s="57">
        <v>-14</v>
      </c>
    </row>
    <row r="568" spans="38:82" x14ac:dyDescent="0.25">
      <c r="AL568" s="133"/>
      <c r="BX568" s="133">
        <v>15.5</v>
      </c>
      <c r="BY568" s="133">
        <v>60</v>
      </c>
      <c r="BZ568" s="133">
        <v>550</v>
      </c>
      <c r="CA568" s="133">
        <v>125</v>
      </c>
      <c r="CB568" s="133" t="s">
        <v>627</v>
      </c>
      <c r="CC568" s="57" t="s">
        <v>64</v>
      </c>
      <c r="CD568" s="57">
        <v>-13</v>
      </c>
    </row>
    <row r="569" spans="38:82" x14ac:dyDescent="0.25">
      <c r="AL569" s="133"/>
      <c r="BX569" s="133">
        <v>16</v>
      </c>
      <c r="BY569" s="133">
        <v>65</v>
      </c>
      <c r="BZ569" s="133">
        <v>550</v>
      </c>
      <c r="CA569" s="133">
        <v>125</v>
      </c>
      <c r="CB569" s="133" t="s">
        <v>628</v>
      </c>
      <c r="CC569" s="57" t="s">
        <v>63</v>
      </c>
      <c r="CD569" s="57">
        <v>-12</v>
      </c>
    </row>
    <row r="570" spans="38:82" x14ac:dyDescent="0.25">
      <c r="AL570" s="133"/>
      <c r="BX570" s="133">
        <v>16.5</v>
      </c>
      <c r="BY570" s="133">
        <v>70</v>
      </c>
      <c r="BZ570" s="133">
        <v>550</v>
      </c>
      <c r="CA570" s="133">
        <v>125</v>
      </c>
      <c r="CB570" s="133" t="s">
        <v>629</v>
      </c>
      <c r="CC570" s="57" t="s">
        <v>63</v>
      </c>
      <c r="CD570" s="57">
        <v>-11</v>
      </c>
    </row>
    <row r="571" spans="38:82" x14ac:dyDescent="0.25">
      <c r="AL571" s="133"/>
      <c r="BX571" s="133">
        <v>17</v>
      </c>
      <c r="BY571" s="133">
        <v>75</v>
      </c>
      <c r="BZ571" s="133">
        <v>550</v>
      </c>
      <c r="CA571" s="133">
        <v>125</v>
      </c>
      <c r="CB571" s="133" t="s">
        <v>630</v>
      </c>
      <c r="CC571" s="57" t="s">
        <v>63</v>
      </c>
      <c r="CD571" s="57">
        <v>-10</v>
      </c>
    </row>
    <row r="572" spans="38:82" x14ac:dyDescent="0.25">
      <c r="AL572" s="133"/>
      <c r="BX572" s="133">
        <v>17.5</v>
      </c>
      <c r="BY572" s="133">
        <v>80</v>
      </c>
      <c r="BZ572" s="133">
        <v>550</v>
      </c>
      <c r="CA572" s="133">
        <v>125</v>
      </c>
      <c r="CB572" s="133" t="s">
        <v>631</v>
      </c>
      <c r="CC572" s="57" t="s">
        <v>62</v>
      </c>
      <c r="CD572" s="57">
        <v>-9</v>
      </c>
    </row>
    <row r="573" spans="38:82" x14ac:dyDescent="0.25">
      <c r="AL573" s="133"/>
      <c r="BX573" s="133">
        <v>18</v>
      </c>
      <c r="BY573" s="133">
        <v>85</v>
      </c>
      <c r="BZ573" s="133">
        <v>550</v>
      </c>
      <c r="CA573" s="133">
        <v>125</v>
      </c>
      <c r="CB573" s="133" t="s">
        <v>632</v>
      </c>
      <c r="CC573" s="57" t="s">
        <v>62</v>
      </c>
      <c r="CD573" s="57">
        <v>-8</v>
      </c>
    </row>
    <row r="574" spans="38:82" x14ac:dyDescent="0.25">
      <c r="AL574" s="133"/>
      <c r="BX574" s="133">
        <v>18.5</v>
      </c>
      <c r="BY574" s="133">
        <v>90</v>
      </c>
      <c r="BZ574" s="133">
        <v>550</v>
      </c>
      <c r="CA574" s="133">
        <v>125</v>
      </c>
      <c r="CB574" s="133" t="s">
        <v>633</v>
      </c>
      <c r="CC574" s="57" t="s">
        <v>62</v>
      </c>
      <c r="CD574" s="57">
        <v>-7</v>
      </c>
    </row>
    <row r="575" spans="38:82" x14ac:dyDescent="0.25">
      <c r="AL575" s="133"/>
      <c r="BX575" s="133">
        <v>19</v>
      </c>
      <c r="BY575" s="133">
        <v>95</v>
      </c>
      <c r="BZ575" s="133">
        <v>550</v>
      </c>
      <c r="CA575" s="133">
        <v>125</v>
      </c>
      <c r="CB575" s="133" t="s">
        <v>634</v>
      </c>
      <c r="CC575" s="57" t="s">
        <v>61</v>
      </c>
      <c r="CD575" s="57">
        <v>-6</v>
      </c>
    </row>
    <row r="576" spans="38:82" x14ac:dyDescent="0.25">
      <c r="AL576" s="133"/>
      <c r="BX576" s="133">
        <v>19.5</v>
      </c>
      <c r="BY576" s="133">
        <v>100</v>
      </c>
      <c r="BZ576" s="133">
        <v>550</v>
      </c>
      <c r="CA576" s="133">
        <v>125</v>
      </c>
      <c r="CB576" s="133" t="s">
        <v>635</v>
      </c>
      <c r="CC576" s="57" t="s">
        <v>61</v>
      </c>
      <c r="CD576" s="57">
        <v>-5</v>
      </c>
    </row>
    <row r="577" spans="38:82" x14ac:dyDescent="0.25">
      <c r="AL577" s="133"/>
      <c r="BX577" s="133">
        <v>20</v>
      </c>
      <c r="BY577" s="133">
        <v>105</v>
      </c>
      <c r="BZ577" s="133">
        <v>550</v>
      </c>
      <c r="CA577" s="133">
        <v>125</v>
      </c>
      <c r="CB577" s="133" t="s">
        <v>636</v>
      </c>
      <c r="CC577" s="57" t="s">
        <v>61</v>
      </c>
      <c r="CD577" s="57">
        <v>-4</v>
      </c>
    </row>
    <row r="578" spans="38:82" x14ac:dyDescent="0.25">
      <c r="AL578" s="133"/>
      <c r="BX578" s="133">
        <v>20.5</v>
      </c>
      <c r="BY578" s="133">
        <v>110</v>
      </c>
      <c r="BZ578" s="133">
        <v>550</v>
      </c>
      <c r="CA578" s="133">
        <v>125</v>
      </c>
      <c r="CB578" s="133" t="s">
        <v>637</v>
      </c>
      <c r="CC578" s="57" t="s">
        <v>60</v>
      </c>
      <c r="CD578" s="57">
        <v>-3</v>
      </c>
    </row>
    <row r="579" spans="38:82" x14ac:dyDescent="0.25">
      <c r="AL579" s="133"/>
      <c r="BX579" s="133">
        <v>21</v>
      </c>
      <c r="BY579" s="133">
        <v>115</v>
      </c>
      <c r="BZ579" s="133">
        <v>550</v>
      </c>
      <c r="CA579" s="133">
        <v>125</v>
      </c>
      <c r="CB579" s="133" t="s">
        <v>638</v>
      </c>
      <c r="CC579" s="57" t="s">
        <v>60</v>
      </c>
      <c r="CD579" s="57">
        <v>-2</v>
      </c>
    </row>
    <row r="580" spans="38:82" x14ac:dyDescent="0.25">
      <c r="AL580" s="133"/>
      <c r="BX580" s="133">
        <v>21.5</v>
      </c>
      <c r="BY580" s="133">
        <v>120</v>
      </c>
      <c r="BZ580" s="133">
        <v>550</v>
      </c>
      <c r="CA580" s="133">
        <v>125</v>
      </c>
      <c r="CB580" s="133" t="s">
        <v>639</v>
      </c>
      <c r="CC580" s="57" t="s">
        <v>60</v>
      </c>
      <c r="CD580" s="57">
        <v>-1</v>
      </c>
    </row>
    <row r="581" spans="38:82" x14ac:dyDescent="0.25">
      <c r="AL581" s="133"/>
      <c r="BX581" s="133">
        <v>22</v>
      </c>
      <c r="BY581" s="133">
        <v>125</v>
      </c>
      <c r="BZ581" s="133">
        <v>550</v>
      </c>
      <c r="CA581" s="133">
        <v>125</v>
      </c>
      <c r="CB581" s="133" t="s">
        <v>640</v>
      </c>
      <c r="CC581" s="57" t="s">
        <v>54</v>
      </c>
      <c r="CD581" s="57">
        <v>0</v>
      </c>
    </row>
    <row r="582" spans="38:82" x14ac:dyDescent="0.25">
      <c r="AL582" s="133"/>
      <c r="BX582" s="133">
        <v>22.5</v>
      </c>
      <c r="BY582" s="133">
        <v>130</v>
      </c>
      <c r="BZ582" s="133">
        <v>550</v>
      </c>
      <c r="CA582" s="133">
        <v>125</v>
      </c>
      <c r="CB582" s="133" t="s">
        <v>641</v>
      </c>
      <c r="CC582" s="57" t="s">
        <v>55</v>
      </c>
      <c r="CD582" s="57">
        <v>1</v>
      </c>
    </row>
    <row r="583" spans="38:82" x14ac:dyDescent="0.25">
      <c r="AL583" s="133"/>
      <c r="BX583" s="133">
        <v>23</v>
      </c>
      <c r="BY583" s="133">
        <v>135</v>
      </c>
      <c r="BZ583" s="133">
        <v>550</v>
      </c>
      <c r="CA583" s="133">
        <v>125</v>
      </c>
      <c r="CB583" s="133" t="s">
        <v>642</v>
      </c>
      <c r="CC583" s="57" t="s">
        <v>55</v>
      </c>
      <c r="CD583" s="57">
        <v>2</v>
      </c>
    </row>
    <row r="584" spans="38:82" x14ac:dyDescent="0.25">
      <c r="AL584" s="133"/>
      <c r="BX584" s="133">
        <v>23.5</v>
      </c>
      <c r="BY584" s="133">
        <v>140</v>
      </c>
      <c r="BZ584" s="133">
        <v>550</v>
      </c>
      <c r="CA584" s="133">
        <v>125</v>
      </c>
      <c r="CB584" s="133" t="s">
        <v>643</v>
      </c>
      <c r="CC584" s="57" t="s">
        <v>55</v>
      </c>
      <c r="CD584" s="57">
        <v>3</v>
      </c>
    </row>
    <row r="585" spans="38:82" x14ac:dyDescent="0.25">
      <c r="AL585" s="133"/>
      <c r="BX585" s="133">
        <v>24</v>
      </c>
      <c r="BY585" s="133">
        <v>145</v>
      </c>
      <c r="BZ585" s="133">
        <v>550</v>
      </c>
      <c r="CA585" s="133">
        <v>125</v>
      </c>
      <c r="CB585" s="133" t="s">
        <v>644</v>
      </c>
      <c r="CC585" s="57" t="s">
        <v>56</v>
      </c>
      <c r="CD585" s="57">
        <v>4</v>
      </c>
    </row>
    <row r="586" spans="38:82" x14ac:dyDescent="0.25">
      <c r="AL586" s="133"/>
      <c r="BX586" s="133">
        <v>24.5</v>
      </c>
      <c r="BY586" s="133">
        <v>150</v>
      </c>
      <c r="BZ586" s="133">
        <v>550</v>
      </c>
      <c r="CA586" s="133">
        <v>125</v>
      </c>
      <c r="CB586" s="133" t="s">
        <v>645</v>
      </c>
      <c r="CC586" s="57" t="s">
        <v>56</v>
      </c>
      <c r="CD586" s="57">
        <v>5</v>
      </c>
    </row>
    <row r="587" spans="38:82" x14ac:dyDescent="0.25">
      <c r="AL587" s="133"/>
      <c r="BX587" s="133">
        <v>25</v>
      </c>
      <c r="BY587" s="133">
        <v>155</v>
      </c>
      <c r="BZ587" s="133">
        <v>550</v>
      </c>
      <c r="CA587" s="133">
        <v>125</v>
      </c>
      <c r="CB587" s="133" t="s">
        <v>646</v>
      </c>
      <c r="CC587" s="57" t="s">
        <v>56</v>
      </c>
      <c r="CD587" s="57">
        <v>6</v>
      </c>
    </row>
    <row r="588" spans="38:82" x14ac:dyDescent="0.25">
      <c r="AL588" s="133"/>
      <c r="BX588" s="133">
        <v>10</v>
      </c>
      <c r="BY588" s="133">
        <v>5</v>
      </c>
      <c r="BZ588" s="133">
        <v>575</v>
      </c>
      <c r="CA588" s="133">
        <v>130</v>
      </c>
      <c r="CB588" s="133" t="s">
        <v>647</v>
      </c>
      <c r="CC588" s="57" t="s">
        <v>64</v>
      </c>
      <c r="CD588" s="57">
        <v>-25</v>
      </c>
    </row>
    <row r="589" spans="38:82" x14ac:dyDescent="0.25">
      <c r="AL589" s="133"/>
      <c r="BX589" s="133">
        <v>10.5</v>
      </c>
      <c r="BY589" s="133">
        <v>10</v>
      </c>
      <c r="BZ589" s="133">
        <v>575</v>
      </c>
      <c r="CA589" s="133">
        <v>130</v>
      </c>
      <c r="CB589" s="133" t="s">
        <v>648</v>
      </c>
      <c r="CC589" s="57" t="s">
        <v>64</v>
      </c>
      <c r="CD589" s="57">
        <v>-24</v>
      </c>
    </row>
    <row r="590" spans="38:82" x14ac:dyDescent="0.25">
      <c r="AL590" s="133"/>
      <c r="BX590" s="133">
        <v>11</v>
      </c>
      <c r="BY590" s="133">
        <v>15</v>
      </c>
      <c r="BZ590" s="133">
        <v>575</v>
      </c>
      <c r="CA590" s="133">
        <v>130</v>
      </c>
      <c r="CB590" s="133" t="s">
        <v>649</v>
      </c>
      <c r="CC590" s="57" t="s">
        <v>64</v>
      </c>
      <c r="CD590" s="57">
        <v>-23</v>
      </c>
    </row>
    <row r="591" spans="38:82" x14ac:dyDescent="0.25">
      <c r="AL591" s="133"/>
      <c r="BX591" s="133">
        <v>11.5</v>
      </c>
      <c r="BY591" s="133">
        <v>20</v>
      </c>
      <c r="BZ591" s="133">
        <v>575</v>
      </c>
      <c r="CA591" s="133">
        <v>130</v>
      </c>
      <c r="CB591" s="133" t="s">
        <v>650</v>
      </c>
      <c r="CC591" s="57" t="s">
        <v>64</v>
      </c>
      <c r="CD591" s="57">
        <v>-22</v>
      </c>
    </row>
    <row r="592" spans="38:82" x14ac:dyDescent="0.25">
      <c r="AL592" s="133"/>
      <c r="BX592" s="133">
        <v>12</v>
      </c>
      <c r="BY592" s="133">
        <v>25</v>
      </c>
      <c r="BZ592" s="133">
        <v>575</v>
      </c>
      <c r="CA592" s="133">
        <v>130</v>
      </c>
      <c r="CB592" s="133" t="s">
        <v>651</v>
      </c>
      <c r="CC592" s="57" t="s">
        <v>64</v>
      </c>
      <c r="CD592" s="57">
        <v>-21</v>
      </c>
    </row>
    <row r="593" spans="38:82" x14ac:dyDescent="0.25">
      <c r="AL593" s="133"/>
      <c r="BX593" s="133">
        <v>12.5</v>
      </c>
      <c r="BY593" s="133">
        <v>30</v>
      </c>
      <c r="BZ593" s="133">
        <v>575</v>
      </c>
      <c r="CA593" s="133">
        <v>130</v>
      </c>
      <c r="CB593" s="133" t="s">
        <v>652</v>
      </c>
      <c r="CC593" s="57" t="s">
        <v>64</v>
      </c>
      <c r="CD593" s="57">
        <v>-20</v>
      </c>
    </row>
    <row r="594" spans="38:82" x14ac:dyDescent="0.25">
      <c r="AL594" s="133"/>
      <c r="BX594" s="133">
        <v>13</v>
      </c>
      <c r="BY594" s="133">
        <v>35</v>
      </c>
      <c r="BZ594" s="133">
        <v>575</v>
      </c>
      <c r="CA594" s="133">
        <v>130</v>
      </c>
      <c r="CB594" s="133" t="s">
        <v>653</v>
      </c>
      <c r="CC594" s="57" t="s">
        <v>64</v>
      </c>
      <c r="CD594" s="57">
        <v>-19</v>
      </c>
    </row>
    <row r="595" spans="38:82" x14ac:dyDescent="0.25">
      <c r="AL595" s="133"/>
      <c r="BX595" s="133">
        <v>13.5</v>
      </c>
      <c r="BY595" s="133">
        <v>40</v>
      </c>
      <c r="BZ595" s="133">
        <v>575</v>
      </c>
      <c r="CA595" s="133">
        <v>130</v>
      </c>
      <c r="CB595" s="133" t="s">
        <v>654</v>
      </c>
      <c r="CC595" s="57" t="s">
        <v>64</v>
      </c>
      <c r="CD595" s="57">
        <v>-18</v>
      </c>
    </row>
    <row r="596" spans="38:82" x14ac:dyDescent="0.25">
      <c r="AL596" s="133"/>
      <c r="BX596" s="133">
        <v>14</v>
      </c>
      <c r="BY596" s="133">
        <v>45</v>
      </c>
      <c r="BZ596" s="133">
        <v>575</v>
      </c>
      <c r="CA596" s="133">
        <v>130</v>
      </c>
      <c r="CB596" s="133" t="s">
        <v>655</v>
      </c>
      <c r="CC596" s="57" t="s">
        <v>64</v>
      </c>
      <c r="CD596" s="57">
        <v>-17</v>
      </c>
    </row>
    <row r="597" spans="38:82" x14ac:dyDescent="0.25">
      <c r="AL597" s="133"/>
      <c r="BX597" s="133">
        <v>14.5</v>
      </c>
      <c r="BY597" s="133">
        <v>50</v>
      </c>
      <c r="BZ597" s="133">
        <v>575</v>
      </c>
      <c r="CA597" s="133">
        <v>130</v>
      </c>
      <c r="CB597" s="133" t="s">
        <v>656</v>
      </c>
      <c r="CC597" s="57" t="s">
        <v>64</v>
      </c>
      <c r="CD597" s="57">
        <v>-16</v>
      </c>
    </row>
    <row r="598" spans="38:82" x14ac:dyDescent="0.25">
      <c r="AL598" s="133"/>
      <c r="BX598" s="133">
        <v>15</v>
      </c>
      <c r="BY598" s="133">
        <v>55</v>
      </c>
      <c r="BZ598" s="133">
        <v>575</v>
      </c>
      <c r="CA598" s="133">
        <v>130</v>
      </c>
      <c r="CB598" s="133" t="s">
        <v>657</v>
      </c>
      <c r="CC598" s="57" t="s">
        <v>64</v>
      </c>
      <c r="CD598" s="57">
        <v>-15</v>
      </c>
    </row>
    <row r="599" spans="38:82" x14ac:dyDescent="0.25">
      <c r="AL599" s="133"/>
      <c r="BX599" s="133">
        <v>15.5</v>
      </c>
      <c r="BY599" s="133">
        <v>60</v>
      </c>
      <c r="BZ599" s="133">
        <v>575</v>
      </c>
      <c r="CA599" s="133">
        <v>130</v>
      </c>
      <c r="CB599" s="133" t="s">
        <v>658</v>
      </c>
      <c r="CC599" s="57" t="s">
        <v>64</v>
      </c>
      <c r="CD599" s="57">
        <v>-14</v>
      </c>
    </row>
    <row r="600" spans="38:82" x14ac:dyDescent="0.25">
      <c r="AL600" s="133"/>
      <c r="BX600" s="133">
        <v>16</v>
      </c>
      <c r="BY600" s="133">
        <v>65</v>
      </c>
      <c r="BZ600" s="133">
        <v>575</v>
      </c>
      <c r="CA600" s="133">
        <v>130</v>
      </c>
      <c r="CB600" s="133" t="s">
        <v>659</v>
      </c>
      <c r="CC600" s="57" t="s">
        <v>64</v>
      </c>
      <c r="CD600" s="57">
        <v>-13</v>
      </c>
    </row>
    <row r="601" spans="38:82" x14ac:dyDescent="0.25">
      <c r="AL601" s="133"/>
      <c r="BX601" s="133">
        <v>16.5</v>
      </c>
      <c r="BY601" s="133">
        <v>70</v>
      </c>
      <c r="BZ601" s="133">
        <v>575</v>
      </c>
      <c r="CA601" s="133">
        <v>130</v>
      </c>
      <c r="CB601" s="133" t="s">
        <v>660</v>
      </c>
      <c r="CC601" s="57" t="s">
        <v>63</v>
      </c>
      <c r="CD601" s="57">
        <v>-12</v>
      </c>
    </row>
    <row r="602" spans="38:82" x14ac:dyDescent="0.25">
      <c r="AL602" s="133"/>
      <c r="BX602" s="133">
        <v>17</v>
      </c>
      <c r="BY602" s="133">
        <v>75</v>
      </c>
      <c r="BZ602" s="133">
        <v>575</v>
      </c>
      <c r="CA602" s="133">
        <v>130</v>
      </c>
      <c r="CB602" s="133" t="s">
        <v>661</v>
      </c>
      <c r="CC602" s="57" t="s">
        <v>63</v>
      </c>
      <c r="CD602" s="57">
        <v>-11</v>
      </c>
    </row>
    <row r="603" spans="38:82" x14ac:dyDescent="0.25">
      <c r="AL603" s="133"/>
      <c r="BX603" s="133">
        <v>17.5</v>
      </c>
      <c r="BY603" s="133">
        <v>80</v>
      </c>
      <c r="BZ603" s="133">
        <v>575</v>
      </c>
      <c r="CA603" s="133">
        <v>130</v>
      </c>
      <c r="CB603" s="133" t="s">
        <v>662</v>
      </c>
      <c r="CC603" s="57" t="s">
        <v>63</v>
      </c>
      <c r="CD603" s="57">
        <v>-10</v>
      </c>
    </row>
    <row r="604" spans="38:82" x14ac:dyDescent="0.25">
      <c r="AL604" s="133"/>
      <c r="BX604" s="133">
        <v>18</v>
      </c>
      <c r="BY604" s="133">
        <v>85</v>
      </c>
      <c r="BZ604" s="133">
        <v>575</v>
      </c>
      <c r="CA604" s="133">
        <v>130</v>
      </c>
      <c r="CB604" s="133" t="s">
        <v>663</v>
      </c>
      <c r="CC604" s="57" t="s">
        <v>62</v>
      </c>
      <c r="CD604" s="57">
        <v>-9</v>
      </c>
    </row>
    <row r="605" spans="38:82" x14ac:dyDescent="0.25">
      <c r="AL605" s="133"/>
      <c r="BX605" s="133">
        <v>18.5</v>
      </c>
      <c r="BY605" s="133">
        <v>90</v>
      </c>
      <c r="BZ605" s="133">
        <v>575</v>
      </c>
      <c r="CA605" s="133">
        <v>130</v>
      </c>
      <c r="CB605" s="133" t="s">
        <v>664</v>
      </c>
      <c r="CC605" s="57" t="s">
        <v>62</v>
      </c>
      <c r="CD605" s="57">
        <v>-8</v>
      </c>
    </row>
    <row r="606" spans="38:82" x14ac:dyDescent="0.25">
      <c r="AL606" s="133"/>
      <c r="BX606" s="133">
        <v>19</v>
      </c>
      <c r="BY606" s="133">
        <v>95</v>
      </c>
      <c r="BZ606" s="133">
        <v>575</v>
      </c>
      <c r="CA606" s="133">
        <v>130</v>
      </c>
      <c r="CB606" s="133" t="s">
        <v>665</v>
      </c>
      <c r="CC606" s="57" t="s">
        <v>62</v>
      </c>
      <c r="CD606" s="57">
        <v>-7</v>
      </c>
    </row>
    <row r="607" spans="38:82" x14ac:dyDescent="0.25">
      <c r="AL607" s="133"/>
      <c r="BX607" s="133">
        <v>19.5</v>
      </c>
      <c r="BY607" s="133">
        <v>100</v>
      </c>
      <c r="BZ607" s="133">
        <v>575</v>
      </c>
      <c r="CA607" s="133">
        <v>130</v>
      </c>
      <c r="CB607" s="133" t="s">
        <v>666</v>
      </c>
      <c r="CC607" s="57" t="s">
        <v>61</v>
      </c>
      <c r="CD607" s="57">
        <v>-6</v>
      </c>
    </row>
    <row r="608" spans="38:82" x14ac:dyDescent="0.25">
      <c r="AL608" s="133"/>
      <c r="BX608" s="133">
        <v>20</v>
      </c>
      <c r="BY608" s="133">
        <v>105</v>
      </c>
      <c r="BZ608" s="133">
        <v>575</v>
      </c>
      <c r="CA608" s="133">
        <v>130</v>
      </c>
      <c r="CB608" s="133" t="s">
        <v>667</v>
      </c>
      <c r="CC608" s="57" t="s">
        <v>61</v>
      </c>
      <c r="CD608" s="57">
        <v>-5</v>
      </c>
    </row>
    <row r="609" spans="38:82" x14ac:dyDescent="0.25">
      <c r="AL609" s="133"/>
      <c r="BX609" s="133">
        <v>20.5</v>
      </c>
      <c r="BY609" s="133">
        <v>110</v>
      </c>
      <c r="BZ609" s="133">
        <v>575</v>
      </c>
      <c r="CA609" s="133">
        <v>130</v>
      </c>
      <c r="CB609" s="133" t="s">
        <v>668</v>
      </c>
      <c r="CC609" s="57" t="s">
        <v>61</v>
      </c>
      <c r="CD609" s="57">
        <v>-4</v>
      </c>
    </row>
    <row r="610" spans="38:82" x14ac:dyDescent="0.25">
      <c r="AL610" s="133"/>
      <c r="BX610" s="133">
        <v>21</v>
      </c>
      <c r="BY610" s="133">
        <v>115</v>
      </c>
      <c r="BZ610" s="133">
        <v>575</v>
      </c>
      <c r="CA610" s="133">
        <v>130</v>
      </c>
      <c r="CB610" s="133" t="s">
        <v>669</v>
      </c>
      <c r="CC610" s="57" t="s">
        <v>60</v>
      </c>
      <c r="CD610" s="57">
        <v>-3</v>
      </c>
    </row>
    <row r="611" spans="38:82" x14ac:dyDescent="0.25">
      <c r="AL611" s="133"/>
      <c r="BX611" s="133">
        <v>21.5</v>
      </c>
      <c r="BY611" s="133">
        <v>120</v>
      </c>
      <c r="BZ611" s="133">
        <v>575</v>
      </c>
      <c r="CA611" s="133">
        <v>130</v>
      </c>
      <c r="CB611" s="133" t="s">
        <v>670</v>
      </c>
      <c r="CC611" s="57" t="s">
        <v>60</v>
      </c>
      <c r="CD611" s="57">
        <v>-2</v>
      </c>
    </row>
    <row r="612" spans="38:82" x14ac:dyDescent="0.25">
      <c r="AL612" s="133"/>
      <c r="BX612" s="133">
        <v>22</v>
      </c>
      <c r="BY612" s="133">
        <v>125</v>
      </c>
      <c r="BZ612" s="133">
        <v>575</v>
      </c>
      <c r="CA612" s="133">
        <v>130</v>
      </c>
      <c r="CB612" s="133" t="s">
        <v>671</v>
      </c>
      <c r="CC612" s="57" t="s">
        <v>60</v>
      </c>
      <c r="CD612" s="57">
        <v>-1</v>
      </c>
    </row>
    <row r="613" spans="38:82" x14ac:dyDescent="0.25">
      <c r="AL613" s="133"/>
      <c r="BX613" s="133">
        <v>22.5</v>
      </c>
      <c r="BY613" s="133">
        <v>130</v>
      </c>
      <c r="BZ613" s="133">
        <v>575</v>
      </c>
      <c r="CA613" s="133">
        <v>130</v>
      </c>
      <c r="CB613" s="133" t="s">
        <v>672</v>
      </c>
      <c r="CC613" s="57" t="s">
        <v>54</v>
      </c>
      <c r="CD613" s="57">
        <v>0</v>
      </c>
    </row>
    <row r="614" spans="38:82" x14ac:dyDescent="0.25">
      <c r="AL614" s="133"/>
      <c r="BX614" s="133">
        <v>23</v>
      </c>
      <c r="BY614" s="133">
        <v>135</v>
      </c>
      <c r="BZ614" s="133">
        <v>575</v>
      </c>
      <c r="CA614" s="133">
        <v>130</v>
      </c>
      <c r="CB614" s="133" t="s">
        <v>673</v>
      </c>
      <c r="CC614" s="57" t="s">
        <v>55</v>
      </c>
      <c r="CD614" s="57">
        <v>1</v>
      </c>
    </row>
    <row r="615" spans="38:82" x14ac:dyDescent="0.25">
      <c r="AL615" s="133"/>
      <c r="BX615" s="133">
        <v>23.5</v>
      </c>
      <c r="BY615" s="133">
        <v>140</v>
      </c>
      <c r="BZ615" s="133">
        <v>575</v>
      </c>
      <c r="CA615" s="133">
        <v>130</v>
      </c>
      <c r="CB615" s="133" t="s">
        <v>674</v>
      </c>
      <c r="CC615" s="57" t="s">
        <v>55</v>
      </c>
      <c r="CD615" s="57">
        <v>2</v>
      </c>
    </row>
    <row r="616" spans="38:82" x14ac:dyDescent="0.25">
      <c r="AL616" s="133"/>
      <c r="BX616" s="133">
        <v>24</v>
      </c>
      <c r="BY616" s="133">
        <v>145</v>
      </c>
      <c r="BZ616" s="133">
        <v>575</v>
      </c>
      <c r="CA616" s="133">
        <v>130</v>
      </c>
      <c r="CB616" s="133" t="s">
        <v>675</v>
      </c>
      <c r="CC616" s="57" t="s">
        <v>55</v>
      </c>
      <c r="CD616" s="57">
        <v>3</v>
      </c>
    </row>
    <row r="617" spans="38:82" x14ac:dyDescent="0.25">
      <c r="AL617" s="133"/>
      <c r="BX617" s="133">
        <v>24.5</v>
      </c>
      <c r="BY617" s="133">
        <v>150</v>
      </c>
      <c r="BZ617" s="133">
        <v>575</v>
      </c>
      <c r="CA617" s="133">
        <v>130</v>
      </c>
      <c r="CB617" s="133" t="s">
        <v>676</v>
      </c>
      <c r="CC617" s="57" t="s">
        <v>56</v>
      </c>
      <c r="CD617" s="57">
        <v>4</v>
      </c>
    </row>
    <row r="618" spans="38:82" x14ac:dyDescent="0.25">
      <c r="AL618" s="133"/>
      <c r="BX618" s="133">
        <v>25</v>
      </c>
      <c r="BY618" s="133">
        <v>155</v>
      </c>
      <c r="BZ618" s="133">
        <v>575</v>
      </c>
      <c r="CA618" s="133">
        <v>130</v>
      </c>
      <c r="CB618" s="133" t="s">
        <v>677</v>
      </c>
      <c r="CC618" s="57" t="s">
        <v>56</v>
      </c>
      <c r="CD618" s="57">
        <v>5</v>
      </c>
    </row>
    <row r="619" spans="38:82" x14ac:dyDescent="0.25">
      <c r="AL619" s="133"/>
      <c r="BX619" s="133">
        <v>10</v>
      </c>
      <c r="BY619" s="133">
        <v>5</v>
      </c>
      <c r="BZ619" s="133">
        <v>600</v>
      </c>
      <c r="CA619" s="133">
        <v>135</v>
      </c>
      <c r="CB619" s="133" t="s">
        <v>678</v>
      </c>
      <c r="CC619" s="57" t="s">
        <v>64</v>
      </c>
      <c r="CD619" s="57">
        <v>-26</v>
      </c>
    </row>
    <row r="620" spans="38:82" x14ac:dyDescent="0.25">
      <c r="AL620" s="133"/>
      <c r="BX620" s="133">
        <v>10.5</v>
      </c>
      <c r="BY620" s="133">
        <v>10</v>
      </c>
      <c r="BZ620" s="133">
        <v>600</v>
      </c>
      <c r="CA620" s="133">
        <v>135</v>
      </c>
      <c r="CB620" s="133" t="s">
        <v>679</v>
      </c>
      <c r="CC620" s="57" t="s">
        <v>64</v>
      </c>
      <c r="CD620" s="57">
        <v>-25</v>
      </c>
    </row>
    <row r="621" spans="38:82" x14ac:dyDescent="0.25">
      <c r="AL621" s="133"/>
      <c r="BX621" s="133">
        <v>11</v>
      </c>
      <c r="BY621" s="133">
        <v>15</v>
      </c>
      <c r="BZ621" s="133">
        <v>600</v>
      </c>
      <c r="CA621" s="133">
        <v>135</v>
      </c>
      <c r="CB621" s="133" t="s">
        <v>680</v>
      </c>
      <c r="CC621" s="57" t="s">
        <v>64</v>
      </c>
      <c r="CD621" s="57">
        <v>-24</v>
      </c>
    </row>
    <row r="622" spans="38:82" x14ac:dyDescent="0.25">
      <c r="AL622" s="133"/>
      <c r="BX622" s="133">
        <v>11.5</v>
      </c>
      <c r="BY622" s="133">
        <v>20</v>
      </c>
      <c r="BZ622" s="133">
        <v>600</v>
      </c>
      <c r="CA622" s="133">
        <v>135</v>
      </c>
      <c r="CB622" s="133" t="s">
        <v>681</v>
      </c>
      <c r="CC622" s="57" t="s">
        <v>64</v>
      </c>
      <c r="CD622" s="57">
        <v>-23</v>
      </c>
    </row>
    <row r="623" spans="38:82" x14ac:dyDescent="0.25">
      <c r="AL623" s="133"/>
      <c r="BX623" s="133">
        <v>12</v>
      </c>
      <c r="BY623" s="133">
        <v>25</v>
      </c>
      <c r="BZ623" s="133">
        <v>600</v>
      </c>
      <c r="CA623" s="133">
        <v>135</v>
      </c>
      <c r="CB623" s="133" t="s">
        <v>682</v>
      </c>
      <c r="CC623" s="57" t="s">
        <v>64</v>
      </c>
      <c r="CD623" s="57">
        <v>-22</v>
      </c>
    </row>
    <row r="624" spans="38:82" x14ac:dyDescent="0.25">
      <c r="AL624" s="133"/>
      <c r="BX624" s="133">
        <v>12.5</v>
      </c>
      <c r="BY624" s="133">
        <v>30</v>
      </c>
      <c r="BZ624" s="133">
        <v>600</v>
      </c>
      <c r="CA624" s="133">
        <v>135</v>
      </c>
      <c r="CB624" s="133" t="s">
        <v>683</v>
      </c>
      <c r="CC624" s="57" t="s">
        <v>64</v>
      </c>
      <c r="CD624" s="57">
        <v>-21</v>
      </c>
    </row>
    <row r="625" spans="38:82" x14ac:dyDescent="0.25">
      <c r="AL625" s="133"/>
      <c r="BX625" s="133">
        <v>13</v>
      </c>
      <c r="BY625" s="133">
        <v>35</v>
      </c>
      <c r="BZ625" s="133">
        <v>600</v>
      </c>
      <c r="CA625" s="133">
        <v>135</v>
      </c>
      <c r="CB625" s="133" t="s">
        <v>684</v>
      </c>
      <c r="CC625" s="57" t="s">
        <v>64</v>
      </c>
      <c r="CD625" s="57">
        <v>-20</v>
      </c>
    </row>
    <row r="626" spans="38:82" x14ac:dyDescent="0.25">
      <c r="AL626" s="133"/>
      <c r="BX626" s="133">
        <v>13.5</v>
      </c>
      <c r="BY626" s="133">
        <v>40</v>
      </c>
      <c r="BZ626" s="133">
        <v>600</v>
      </c>
      <c r="CA626" s="133">
        <v>135</v>
      </c>
      <c r="CB626" s="133" t="s">
        <v>685</v>
      </c>
      <c r="CC626" s="57" t="s">
        <v>64</v>
      </c>
      <c r="CD626" s="57">
        <v>-19</v>
      </c>
    </row>
    <row r="627" spans="38:82" x14ac:dyDescent="0.25">
      <c r="AL627" s="133"/>
      <c r="BX627" s="133">
        <v>14</v>
      </c>
      <c r="BY627" s="133">
        <v>45</v>
      </c>
      <c r="BZ627" s="133">
        <v>600</v>
      </c>
      <c r="CA627" s="133">
        <v>135</v>
      </c>
      <c r="CB627" s="133" t="s">
        <v>686</v>
      </c>
      <c r="CC627" s="57" t="s">
        <v>64</v>
      </c>
      <c r="CD627" s="57">
        <v>-18</v>
      </c>
    </row>
    <row r="628" spans="38:82" x14ac:dyDescent="0.25">
      <c r="AL628" s="133"/>
      <c r="BX628" s="133">
        <v>14.5</v>
      </c>
      <c r="BY628" s="133">
        <v>50</v>
      </c>
      <c r="BZ628" s="133">
        <v>600</v>
      </c>
      <c r="CA628" s="133">
        <v>135</v>
      </c>
      <c r="CB628" s="133" t="s">
        <v>687</v>
      </c>
      <c r="CC628" s="57" t="s">
        <v>64</v>
      </c>
      <c r="CD628" s="57">
        <v>-17</v>
      </c>
    </row>
    <row r="629" spans="38:82" x14ac:dyDescent="0.25">
      <c r="AL629" s="133"/>
      <c r="BX629" s="133">
        <v>15</v>
      </c>
      <c r="BY629" s="133">
        <v>55</v>
      </c>
      <c r="BZ629" s="133">
        <v>600</v>
      </c>
      <c r="CA629" s="133">
        <v>135</v>
      </c>
      <c r="CB629" s="133" t="s">
        <v>688</v>
      </c>
      <c r="CC629" s="57" t="s">
        <v>64</v>
      </c>
      <c r="CD629" s="57">
        <v>-16</v>
      </c>
    </row>
    <row r="630" spans="38:82" x14ac:dyDescent="0.25">
      <c r="AL630" s="133"/>
      <c r="BX630" s="133">
        <v>15.5</v>
      </c>
      <c r="BY630" s="133">
        <v>60</v>
      </c>
      <c r="BZ630" s="133">
        <v>600</v>
      </c>
      <c r="CA630" s="133">
        <v>135</v>
      </c>
      <c r="CB630" s="133" t="s">
        <v>689</v>
      </c>
      <c r="CC630" s="57" t="s">
        <v>64</v>
      </c>
      <c r="CD630" s="57">
        <v>-15</v>
      </c>
    </row>
    <row r="631" spans="38:82" x14ac:dyDescent="0.25">
      <c r="AL631" s="133"/>
      <c r="BX631" s="133">
        <v>16</v>
      </c>
      <c r="BY631" s="133">
        <v>65</v>
      </c>
      <c r="BZ631" s="133">
        <v>600</v>
      </c>
      <c r="CA631" s="133">
        <v>135</v>
      </c>
      <c r="CB631" s="133" t="s">
        <v>690</v>
      </c>
      <c r="CC631" s="57" t="s">
        <v>64</v>
      </c>
      <c r="CD631" s="57">
        <v>-14</v>
      </c>
    </row>
    <row r="632" spans="38:82" x14ac:dyDescent="0.25">
      <c r="AL632" s="133"/>
      <c r="BX632" s="133">
        <v>16.5</v>
      </c>
      <c r="BY632" s="133">
        <v>70</v>
      </c>
      <c r="BZ632" s="133">
        <v>600</v>
      </c>
      <c r="CA632" s="133">
        <v>135</v>
      </c>
      <c r="CB632" s="133" t="s">
        <v>691</v>
      </c>
      <c r="CC632" s="57" t="s">
        <v>64</v>
      </c>
      <c r="CD632" s="57">
        <v>-13</v>
      </c>
    </row>
    <row r="633" spans="38:82" x14ac:dyDescent="0.25">
      <c r="AL633" s="133"/>
      <c r="BX633" s="133">
        <v>17</v>
      </c>
      <c r="BY633" s="133">
        <v>75</v>
      </c>
      <c r="BZ633" s="133">
        <v>600</v>
      </c>
      <c r="CA633" s="133">
        <v>135</v>
      </c>
      <c r="CB633" s="133" t="s">
        <v>692</v>
      </c>
      <c r="CC633" s="57" t="s">
        <v>63</v>
      </c>
      <c r="CD633" s="57">
        <v>-12</v>
      </c>
    </row>
    <row r="634" spans="38:82" x14ac:dyDescent="0.25">
      <c r="AL634" s="133"/>
      <c r="BX634" s="133">
        <v>17.5</v>
      </c>
      <c r="BY634" s="133">
        <v>80</v>
      </c>
      <c r="BZ634" s="133">
        <v>600</v>
      </c>
      <c r="CA634" s="133">
        <v>135</v>
      </c>
      <c r="CB634" s="133" t="s">
        <v>693</v>
      </c>
      <c r="CC634" s="57" t="s">
        <v>63</v>
      </c>
      <c r="CD634" s="57">
        <v>-11</v>
      </c>
    </row>
    <row r="635" spans="38:82" x14ac:dyDescent="0.25">
      <c r="AL635" s="133"/>
      <c r="BX635" s="133">
        <v>18</v>
      </c>
      <c r="BY635" s="133">
        <v>85</v>
      </c>
      <c r="BZ635" s="133">
        <v>600</v>
      </c>
      <c r="CA635" s="133">
        <v>135</v>
      </c>
      <c r="CB635" s="133" t="s">
        <v>694</v>
      </c>
      <c r="CC635" s="57" t="s">
        <v>63</v>
      </c>
      <c r="CD635" s="57">
        <v>-10</v>
      </c>
    </row>
    <row r="636" spans="38:82" x14ac:dyDescent="0.25">
      <c r="AL636" s="133"/>
      <c r="BX636" s="133">
        <v>18.5</v>
      </c>
      <c r="BY636" s="133">
        <v>90</v>
      </c>
      <c r="BZ636" s="133">
        <v>600</v>
      </c>
      <c r="CA636" s="133">
        <v>135</v>
      </c>
      <c r="CB636" s="133" t="s">
        <v>695</v>
      </c>
      <c r="CC636" s="57" t="s">
        <v>62</v>
      </c>
      <c r="CD636" s="57">
        <v>-9</v>
      </c>
    </row>
    <row r="637" spans="38:82" x14ac:dyDescent="0.25">
      <c r="AL637" s="133"/>
      <c r="BX637" s="133">
        <v>19</v>
      </c>
      <c r="BY637" s="133">
        <v>95</v>
      </c>
      <c r="BZ637" s="133">
        <v>600</v>
      </c>
      <c r="CA637" s="133">
        <v>135</v>
      </c>
      <c r="CB637" s="133" t="s">
        <v>696</v>
      </c>
      <c r="CC637" s="57" t="s">
        <v>62</v>
      </c>
      <c r="CD637" s="57">
        <v>-8</v>
      </c>
    </row>
    <row r="638" spans="38:82" x14ac:dyDescent="0.25">
      <c r="AL638" s="133"/>
      <c r="BX638" s="133">
        <v>19.5</v>
      </c>
      <c r="BY638" s="133">
        <v>100</v>
      </c>
      <c r="BZ638" s="133">
        <v>600</v>
      </c>
      <c r="CA638" s="133">
        <v>135</v>
      </c>
      <c r="CB638" s="133" t="s">
        <v>697</v>
      </c>
      <c r="CC638" s="57" t="s">
        <v>62</v>
      </c>
      <c r="CD638" s="57">
        <v>-7</v>
      </c>
    </row>
    <row r="639" spans="38:82" x14ac:dyDescent="0.25">
      <c r="AL639" s="133"/>
      <c r="BX639" s="133">
        <v>20</v>
      </c>
      <c r="BY639" s="133">
        <v>105</v>
      </c>
      <c r="BZ639" s="133">
        <v>600</v>
      </c>
      <c r="CA639" s="133">
        <v>135</v>
      </c>
      <c r="CB639" s="133" t="s">
        <v>698</v>
      </c>
      <c r="CC639" s="57" t="s">
        <v>61</v>
      </c>
      <c r="CD639" s="57">
        <v>-6</v>
      </c>
    </row>
    <row r="640" spans="38:82" x14ac:dyDescent="0.25">
      <c r="AL640" s="133"/>
      <c r="BX640" s="133">
        <v>20.5</v>
      </c>
      <c r="BY640" s="133">
        <v>110</v>
      </c>
      <c r="BZ640" s="133">
        <v>600</v>
      </c>
      <c r="CA640" s="133">
        <v>135</v>
      </c>
      <c r="CB640" s="133" t="s">
        <v>699</v>
      </c>
      <c r="CC640" s="57" t="s">
        <v>61</v>
      </c>
      <c r="CD640" s="57">
        <v>-5</v>
      </c>
    </row>
    <row r="641" spans="38:82" x14ac:dyDescent="0.25">
      <c r="AL641" s="133"/>
      <c r="BX641" s="133">
        <v>21</v>
      </c>
      <c r="BY641" s="133">
        <v>115</v>
      </c>
      <c r="BZ641" s="133">
        <v>600</v>
      </c>
      <c r="CA641" s="133">
        <v>135</v>
      </c>
      <c r="CB641" s="133" t="s">
        <v>700</v>
      </c>
      <c r="CC641" s="57" t="s">
        <v>61</v>
      </c>
      <c r="CD641" s="57">
        <v>-4</v>
      </c>
    </row>
    <row r="642" spans="38:82" x14ac:dyDescent="0.25">
      <c r="AL642" s="133"/>
      <c r="BX642" s="133">
        <v>21.5</v>
      </c>
      <c r="BY642" s="133">
        <v>120</v>
      </c>
      <c r="BZ642" s="133">
        <v>600</v>
      </c>
      <c r="CA642" s="133">
        <v>135</v>
      </c>
      <c r="CB642" s="133" t="s">
        <v>701</v>
      </c>
      <c r="CC642" s="57" t="s">
        <v>60</v>
      </c>
      <c r="CD642" s="57">
        <v>-3</v>
      </c>
    </row>
    <row r="643" spans="38:82" x14ac:dyDescent="0.25">
      <c r="AL643" s="133"/>
      <c r="BX643" s="133">
        <v>22</v>
      </c>
      <c r="BY643" s="133">
        <v>125</v>
      </c>
      <c r="BZ643" s="133">
        <v>600</v>
      </c>
      <c r="CA643" s="133">
        <v>135</v>
      </c>
      <c r="CB643" s="133" t="s">
        <v>702</v>
      </c>
      <c r="CC643" s="57" t="s">
        <v>60</v>
      </c>
      <c r="CD643" s="57">
        <v>-2</v>
      </c>
    </row>
    <row r="644" spans="38:82" x14ac:dyDescent="0.25">
      <c r="AL644" s="133"/>
      <c r="BX644" s="133">
        <v>22.5</v>
      </c>
      <c r="BY644" s="133">
        <v>130</v>
      </c>
      <c r="BZ644" s="133">
        <v>600</v>
      </c>
      <c r="CA644" s="133">
        <v>135</v>
      </c>
      <c r="CB644" s="133" t="s">
        <v>703</v>
      </c>
      <c r="CC644" s="57" t="s">
        <v>60</v>
      </c>
      <c r="CD644" s="57">
        <v>-1</v>
      </c>
    </row>
    <row r="645" spans="38:82" x14ac:dyDescent="0.25">
      <c r="AL645" s="133"/>
      <c r="BX645" s="133">
        <v>23</v>
      </c>
      <c r="BY645" s="133">
        <v>135</v>
      </c>
      <c r="BZ645" s="133">
        <v>600</v>
      </c>
      <c r="CA645" s="133">
        <v>135</v>
      </c>
      <c r="CB645" s="133" t="s">
        <v>704</v>
      </c>
      <c r="CC645" s="57" t="s">
        <v>54</v>
      </c>
      <c r="CD645" s="57">
        <v>0</v>
      </c>
    </row>
    <row r="646" spans="38:82" x14ac:dyDescent="0.25">
      <c r="AL646" s="133"/>
      <c r="BX646" s="133">
        <v>23.5</v>
      </c>
      <c r="BY646" s="133">
        <v>140</v>
      </c>
      <c r="BZ646" s="133">
        <v>600</v>
      </c>
      <c r="CA646" s="133">
        <v>135</v>
      </c>
      <c r="CB646" s="133" t="s">
        <v>705</v>
      </c>
      <c r="CC646" s="57" t="s">
        <v>55</v>
      </c>
      <c r="CD646" s="57">
        <v>1</v>
      </c>
    </row>
    <row r="647" spans="38:82" x14ac:dyDescent="0.25">
      <c r="AL647" s="133"/>
      <c r="BX647" s="133">
        <v>24</v>
      </c>
      <c r="BY647" s="133">
        <v>145</v>
      </c>
      <c r="BZ647" s="133">
        <v>600</v>
      </c>
      <c r="CA647" s="133">
        <v>135</v>
      </c>
      <c r="CB647" s="133" t="s">
        <v>706</v>
      </c>
      <c r="CC647" s="57" t="s">
        <v>55</v>
      </c>
      <c r="CD647" s="57">
        <v>2</v>
      </c>
    </row>
    <row r="648" spans="38:82" x14ac:dyDescent="0.25">
      <c r="AL648" s="133"/>
      <c r="BX648" s="133">
        <v>24.5</v>
      </c>
      <c r="BY648" s="133">
        <v>150</v>
      </c>
      <c r="BZ648" s="133">
        <v>600</v>
      </c>
      <c r="CA648" s="133">
        <v>135</v>
      </c>
      <c r="CB648" s="133" t="s">
        <v>707</v>
      </c>
      <c r="CC648" s="57" t="s">
        <v>55</v>
      </c>
      <c r="CD648" s="57">
        <v>3</v>
      </c>
    </row>
    <row r="649" spans="38:82" x14ac:dyDescent="0.25">
      <c r="AL649" s="133"/>
      <c r="BX649" s="133">
        <v>25</v>
      </c>
      <c r="BY649" s="133">
        <v>155</v>
      </c>
      <c r="BZ649" s="133">
        <v>600</v>
      </c>
      <c r="CA649" s="133">
        <v>135</v>
      </c>
      <c r="CB649" s="133" t="s">
        <v>708</v>
      </c>
      <c r="CC649" s="57" t="s">
        <v>56</v>
      </c>
      <c r="CD649" s="57">
        <v>4</v>
      </c>
    </row>
    <row r="650" spans="38:82" x14ac:dyDescent="0.25">
      <c r="AL650" s="133"/>
    </row>
    <row r="651" spans="38:82" x14ac:dyDescent="0.25">
      <c r="AL651" s="133"/>
    </row>
    <row r="652" spans="38:82" x14ac:dyDescent="0.25">
      <c r="AL652" s="133"/>
    </row>
    <row r="653" spans="38:82" x14ac:dyDescent="0.25">
      <c r="AL653" s="133"/>
    </row>
    <row r="654" spans="38:82" x14ac:dyDescent="0.25">
      <c r="AL654" s="133"/>
    </row>
    <row r="655" spans="38:82" x14ac:dyDescent="0.25">
      <c r="AL655" s="133"/>
    </row>
    <row r="656" spans="38:82" x14ac:dyDescent="0.25">
      <c r="AL656" s="133"/>
    </row>
    <row r="657" spans="38:38" x14ac:dyDescent="0.25">
      <c r="AL657" s="133"/>
    </row>
    <row r="658" spans="38:38" x14ac:dyDescent="0.25">
      <c r="AL658" s="133"/>
    </row>
    <row r="659" spans="38:38" x14ac:dyDescent="0.25">
      <c r="AL659" s="133"/>
    </row>
    <row r="660" spans="38:38" x14ac:dyDescent="0.25">
      <c r="AL660" s="133"/>
    </row>
    <row r="661" spans="38:38" x14ac:dyDescent="0.25">
      <c r="AL661" s="133"/>
    </row>
    <row r="662" spans="38:38" x14ac:dyDescent="0.25">
      <c r="AL662" s="133"/>
    </row>
    <row r="663" spans="38:38" x14ac:dyDescent="0.25">
      <c r="AL663" s="133"/>
    </row>
    <row r="664" spans="38:38" x14ac:dyDescent="0.25">
      <c r="AL664" s="133"/>
    </row>
    <row r="665" spans="38:38" x14ac:dyDescent="0.25">
      <c r="AL665" s="133"/>
    </row>
    <row r="666" spans="38:38" x14ac:dyDescent="0.25">
      <c r="AL666" s="133"/>
    </row>
    <row r="667" spans="38:38" x14ac:dyDescent="0.25">
      <c r="AL667" s="133"/>
    </row>
    <row r="668" spans="38:38" x14ac:dyDescent="0.25">
      <c r="AL668" s="133"/>
    </row>
    <row r="669" spans="38:38" x14ac:dyDescent="0.25">
      <c r="AL669" s="133"/>
    </row>
    <row r="670" spans="38:38" x14ac:dyDescent="0.25">
      <c r="AL670" s="133"/>
    </row>
    <row r="671" spans="38:38" x14ac:dyDescent="0.25">
      <c r="AL671" s="133"/>
    </row>
    <row r="672" spans="38:38" x14ac:dyDescent="0.25">
      <c r="AL672" s="133"/>
    </row>
    <row r="673" spans="38:38" x14ac:dyDescent="0.25">
      <c r="AL673" s="133"/>
    </row>
    <row r="674" spans="38:38" x14ac:dyDescent="0.25">
      <c r="AL674" s="133"/>
    </row>
    <row r="675" spans="38:38" x14ac:dyDescent="0.25">
      <c r="AL675" s="133"/>
    </row>
    <row r="676" spans="38:38" x14ac:dyDescent="0.25">
      <c r="AL676" s="133"/>
    </row>
    <row r="677" spans="38:38" x14ac:dyDescent="0.25">
      <c r="AL677" s="133"/>
    </row>
    <row r="678" spans="38:38" x14ac:dyDescent="0.25">
      <c r="AL678" s="133"/>
    </row>
    <row r="679" spans="38:38" x14ac:dyDescent="0.25">
      <c r="AL679" s="133"/>
    </row>
    <row r="680" spans="38:38" x14ac:dyDescent="0.25">
      <c r="AL680" s="133"/>
    </row>
    <row r="681" spans="38:38" x14ac:dyDescent="0.25">
      <c r="AL681" s="133"/>
    </row>
    <row r="682" spans="38:38" x14ac:dyDescent="0.25">
      <c r="AL682" s="133"/>
    </row>
    <row r="683" spans="38:38" x14ac:dyDescent="0.25">
      <c r="AL683" s="133"/>
    </row>
    <row r="684" spans="38:38" x14ac:dyDescent="0.25">
      <c r="AL684" s="133"/>
    </row>
    <row r="685" spans="38:38" x14ac:dyDescent="0.25">
      <c r="AL685" s="133"/>
    </row>
    <row r="686" spans="38:38" x14ac:dyDescent="0.25">
      <c r="AL686" s="133"/>
    </row>
    <row r="687" spans="38:38" x14ac:dyDescent="0.25">
      <c r="AL687" s="133"/>
    </row>
    <row r="688" spans="38:38" x14ac:dyDescent="0.25">
      <c r="AL688" s="133"/>
    </row>
    <row r="689" spans="38:38" x14ac:dyDescent="0.25">
      <c r="AL689" s="133"/>
    </row>
    <row r="690" spans="38:38" x14ac:dyDescent="0.25">
      <c r="AL690" s="133"/>
    </row>
    <row r="691" spans="38:38" x14ac:dyDescent="0.25">
      <c r="AL691" s="133"/>
    </row>
    <row r="692" spans="38:38" x14ac:dyDescent="0.25">
      <c r="AL692" s="133"/>
    </row>
    <row r="693" spans="38:38" x14ac:dyDescent="0.25">
      <c r="AL693" s="133"/>
    </row>
    <row r="694" spans="38:38" x14ac:dyDescent="0.25">
      <c r="AL694" s="133"/>
    </row>
    <row r="695" spans="38:38" x14ac:dyDescent="0.25">
      <c r="AL695" s="133"/>
    </row>
    <row r="696" spans="38:38" x14ac:dyDescent="0.25">
      <c r="AL696" s="133"/>
    </row>
    <row r="697" spans="38:38" x14ac:dyDescent="0.25">
      <c r="AL697" s="133"/>
    </row>
    <row r="698" spans="38:38" x14ac:dyDescent="0.25">
      <c r="AL698" s="133"/>
    </row>
    <row r="699" spans="38:38" x14ac:dyDescent="0.25">
      <c r="AL699" s="133"/>
    </row>
    <row r="700" spans="38:38" x14ac:dyDescent="0.25">
      <c r="AL700" s="133"/>
    </row>
    <row r="701" spans="38:38" x14ac:dyDescent="0.25">
      <c r="AL701" s="133"/>
    </row>
    <row r="702" spans="38:38" x14ac:dyDescent="0.25">
      <c r="AL702" s="133"/>
    </row>
    <row r="703" spans="38:38" x14ac:dyDescent="0.25">
      <c r="AL703" s="133"/>
    </row>
    <row r="704" spans="38:38" x14ac:dyDescent="0.25">
      <c r="AL704" s="133"/>
    </row>
    <row r="705" spans="38:38" x14ac:dyDescent="0.25">
      <c r="AL705" s="133"/>
    </row>
    <row r="706" spans="38:38" x14ac:dyDescent="0.25">
      <c r="AL706" s="133"/>
    </row>
    <row r="707" spans="38:38" x14ac:dyDescent="0.25">
      <c r="AL707" s="133"/>
    </row>
    <row r="708" spans="38:38" x14ac:dyDescent="0.25">
      <c r="AL708" s="133"/>
    </row>
    <row r="709" spans="38:38" x14ac:dyDescent="0.25">
      <c r="AL709" s="133"/>
    </row>
    <row r="710" spans="38:38" x14ac:dyDescent="0.25">
      <c r="AL710" s="133"/>
    </row>
    <row r="711" spans="38:38" x14ac:dyDescent="0.25">
      <c r="AL711" s="133"/>
    </row>
    <row r="712" spans="38:38" x14ac:dyDescent="0.25">
      <c r="AL712" s="133"/>
    </row>
    <row r="713" spans="38:38" x14ac:dyDescent="0.25">
      <c r="AL713" s="133"/>
    </row>
    <row r="714" spans="38:38" x14ac:dyDescent="0.25">
      <c r="AL714" s="133"/>
    </row>
    <row r="715" spans="38:38" x14ac:dyDescent="0.25">
      <c r="AL715" s="133"/>
    </row>
    <row r="716" spans="38:38" x14ac:dyDescent="0.25">
      <c r="AL716" s="133"/>
    </row>
    <row r="717" spans="38:38" x14ac:dyDescent="0.25">
      <c r="AL717" s="133"/>
    </row>
    <row r="718" spans="38:38" x14ac:dyDescent="0.25">
      <c r="AL718" s="133"/>
    </row>
    <row r="719" spans="38:38" x14ac:dyDescent="0.25">
      <c r="AL719" s="133"/>
    </row>
    <row r="720" spans="38:38" x14ac:dyDescent="0.25">
      <c r="AL720" s="133"/>
    </row>
    <row r="721" spans="38:38" x14ac:dyDescent="0.25">
      <c r="AL721" s="133"/>
    </row>
    <row r="722" spans="38:38" x14ac:dyDescent="0.25">
      <c r="AL722" s="133"/>
    </row>
    <row r="723" spans="38:38" x14ac:dyDescent="0.25">
      <c r="AL723" s="133"/>
    </row>
    <row r="724" spans="38:38" x14ac:dyDescent="0.25">
      <c r="AL724" s="133"/>
    </row>
    <row r="725" spans="38:38" x14ac:dyDescent="0.25">
      <c r="AL725" s="133"/>
    </row>
    <row r="726" spans="38:38" x14ac:dyDescent="0.25">
      <c r="AL726" s="133"/>
    </row>
    <row r="727" spans="38:38" x14ac:dyDescent="0.25">
      <c r="AL727" s="133"/>
    </row>
    <row r="728" spans="38:38" x14ac:dyDescent="0.25">
      <c r="AL728" s="133"/>
    </row>
    <row r="729" spans="38:38" x14ac:dyDescent="0.25">
      <c r="AL729" s="133"/>
    </row>
    <row r="730" spans="38:38" x14ac:dyDescent="0.25">
      <c r="AL730" s="133"/>
    </row>
    <row r="731" spans="38:38" x14ac:dyDescent="0.25">
      <c r="AL731" s="133"/>
    </row>
    <row r="732" spans="38:38" x14ac:dyDescent="0.25">
      <c r="AL732" s="133"/>
    </row>
    <row r="733" spans="38:38" x14ac:dyDescent="0.25">
      <c r="AL733" s="133"/>
    </row>
    <row r="734" spans="38:38" x14ac:dyDescent="0.25">
      <c r="AL734" s="133"/>
    </row>
    <row r="735" spans="38:38" x14ac:dyDescent="0.25">
      <c r="AL735" s="133"/>
    </row>
    <row r="736" spans="38:38" x14ac:dyDescent="0.25">
      <c r="AL736" s="133"/>
    </row>
    <row r="737" spans="38:38" x14ac:dyDescent="0.25">
      <c r="AL737" s="133"/>
    </row>
    <row r="738" spans="38:38" x14ac:dyDescent="0.25">
      <c r="AL738" s="133"/>
    </row>
    <row r="739" spans="38:38" x14ac:dyDescent="0.25">
      <c r="AL739" s="133"/>
    </row>
    <row r="740" spans="38:38" x14ac:dyDescent="0.25">
      <c r="AL740" s="133"/>
    </row>
    <row r="741" spans="38:38" x14ac:dyDescent="0.25">
      <c r="AL741" s="133"/>
    </row>
    <row r="742" spans="38:38" x14ac:dyDescent="0.25">
      <c r="AL742" s="133"/>
    </row>
    <row r="743" spans="38:38" x14ac:dyDescent="0.25">
      <c r="AL743" s="133"/>
    </row>
    <row r="744" spans="38:38" x14ac:dyDescent="0.25">
      <c r="AL744" s="133"/>
    </row>
    <row r="745" spans="38:38" x14ac:dyDescent="0.25">
      <c r="AL745" s="133"/>
    </row>
    <row r="746" spans="38:38" x14ac:dyDescent="0.25">
      <c r="AL746" s="133"/>
    </row>
    <row r="747" spans="38:38" x14ac:dyDescent="0.25">
      <c r="AL747" s="133"/>
    </row>
    <row r="748" spans="38:38" x14ac:dyDescent="0.25">
      <c r="AL748" s="133"/>
    </row>
    <row r="749" spans="38:38" x14ac:dyDescent="0.25">
      <c r="AL749" s="133"/>
    </row>
    <row r="750" spans="38:38" x14ac:dyDescent="0.25">
      <c r="AL750" s="133"/>
    </row>
    <row r="751" spans="38:38" x14ac:dyDescent="0.25">
      <c r="AL751" s="133"/>
    </row>
    <row r="752" spans="38:38" x14ac:dyDescent="0.25">
      <c r="AL752" s="133"/>
    </row>
    <row r="753" spans="38:38" x14ac:dyDescent="0.25">
      <c r="AL753" s="133"/>
    </row>
    <row r="754" spans="38:38" x14ac:dyDescent="0.25">
      <c r="AL754" s="133"/>
    </row>
    <row r="755" spans="38:38" x14ac:dyDescent="0.25">
      <c r="AL755" s="133"/>
    </row>
    <row r="756" spans="38:38" x14ac:dyDescent="0.25">
      <c r="AL756" s="133"/>
    </row>
    <row r="757" spans="38:38" x14ac:dyDescent="0.25">
      <c r="AL757" s="133"/>
    </row>
    <row r="758" spans="38:38" x14ac:dyDescent="0.25">
      <c r="AL758" s="133"/>
    </row>
    <row r="759" spans="38:38" x14ac:dyDescent="0.25">
      <c r="AL759" s="133"/>
    </row>
    <row r="760" spans="38:38" x14ac:dyDescent="0.25">
      <c r="AL760" s="133"/>
    </row>
    <row r="761" spans="38:38" x14ac:dyDescent="0.25">
      <c r="AL761" s="133"/>
    </row>
    <row r="762" spans="38:38" x14ac:dyDescent="0.25">
      <c r="AL762" s="133"/>
    </row>
    <row r="763" spans="38:38" x14ac:dyDescent="0.25">
      <c r="AL763" s="133"/>
    </row>
    <row r="764" spans="38:38" x14ac:dyDescent="0.25">
      <c r="AL764" s="133"/>
    </row>
    <row r="765" spans="38:38" x14ac:dyDescent="0.25">
      <c r="AL765" s="133"/>
    </row>
    <row r="766" spans="38:38" x14ac:dyDescent="0.25">
      <c r="AL766" s="133"/>
    </row>
    <row r="767" spans="38:38" x14ac:dyDescent="0.25">
      <c r="AL767" s="133"/>
    </row>
    <row r="768" spans="38:38" x14ac:dyDescent="0.25">
      <c r="AL768" s="133"/>
    </row>
    <row r="769" spans="38:38" x14ac:dyDescent="0.25">
      <c r="AL769" s="133"/>
    </row>
    <row r="770" spans="38:38" x14ac:dyDescent="0.25">
      <c r="AL770" s="133"/>
    </row>
    <row r="771" spans="38:38" x14ac:dyDescent="0.25">
      <c r="AL771" s="133"/>
    </row>
    <row r="772" spans="38:38" x14ac:dyDescent="0.25">
      <c r="AL772" s="133"/>
    </row>
    <row r="773" spans="38:38" x14ac:dyDescent="0.25">
      <c r="AL773" s="133"/>
    </row>
    <row r="774" spans="38:38" x14ac:dyDescent="0.25">
      <c r="AL774" s="133"/>
    </row>
    <row r="775" spans="38:38" x14ac:dyDescent="0.25">
      <c r="AL775" s="133"/>
    </row>
    <row r="776" spans="38:38" x14ac:dyDescent="0.25">
      <c r="AL776" s="133"/>
    </row>
    <row r="777" spans="38:38" x14ac:dyDescent="0.25">
      <c r="AL777" s="133"/>
    </row>
    <row r="778" spans="38:38" x14ac:dyDescent="0.25">
      <c r="AL778" s="133"/>
    </row>
    <row r="779" spans="38:38" x14ac:dyDescent="0.25">
      <c r="AL779" s="133"/>
    </row>
    <row r="780" spans="38:38" x14ac:dyDescent="0.25">
      <c r="AL780" s="133"/>
    </row>
    <row r="781" spans="38:38" x14ac:dyDescent="0.25">
      <c r="AL781" s="133"/>
    </row>
    <row r="782" spans="38:38" x14ac:dyDescent="0.25">
      <c r="AL782" s="133"/>
    </row>
    <row r="783" spans="38:38" x14ac:dyDescent="0.25">
      <c r="AL783" s="133"/>
    </row>
    <row r="784" spans="38:38" x14ac:dyDescent="0.25">
      <c r="AL784" s="133"/>
    </row>
    <row r="785" spans="38:38" x14ac:dyDescent="0.25">
      <c r="AL785" s="133"/>
    </row>
    <row r="786" spans="38:38" x14ac:dyDescent="0.25">
      <c r="AL786" s="133"/>
    </row>
    <row r="787" spans="38:38" x14ac:dyDescent="0.25">
      <c r="AL787" s="133"/>
    </row>
    <row r="788" spans="38:38" x14ac:dyDescent="0.25">
      <c r="AL788" s="133"/>
    </row>
    <row r="789" spans="38:38" x14ac:dyDescent="0.25">
      <c r="AL789" s="133"/>
    </row>
    <row r="790" spans="38:38" x14ac:dyDescent="0.25">
      <c r="AL790" s="133"/>
    </row>
    <row r="791" spans="38:38" x14ac:dyDescent="0.25">
      <c r="AL791" s="133"/>
    </row>
    <row r="792" spans="38:38" x14ac:dyDescent="0.25">
      <c r="AL792" s="133"/>
    </row>
    <row r="793" spans="38:38" x14ac:dyDescent="0.25">
      <c r="AL793" s="133"/>
    </row>
    <row r="794" spans="38:38" x14ac:dyDescent="0.25">
      <c r="AL794" s="133"/>
    </row>
    <row r="795" spans="38:38" x14ac:dyDescent="0.25">
      <c r="AL795" s="133"/>
    </row>
    <row r="796" spans="38:38" x14ac:dyDescent="0.25">
      <c r="AL796" s="133"/>
    </row>
    <row r="797" spans="38:38" x14ac:dyDescent="0.25">
      <c r="AL797" s="133"/>
    </row>
    <row r="798" spans="38:38" x14ac:dyDescent="0.25">
      <c r="AL798" s="133"/>
    </row>
    <row r="799" spans="38:38" x14ac:dyDescent="0.25">
      <c r="AL799" s="133"/>
    </row>
    <row r="800" spans="38:38" x14ac:dyDescent="0.25">
      <c r="AL800" s="133"/>
    </row>
    <row r="801" spans="38:38" x14ac:dyDescent="0.25">
      <c r="AL801" s="133"/>
    </row>
    <row r="802" spans="38:38" x14ac:dyDescent="0.25">
      <c r="AL802" s="133"/>
    </row>
    <row r="803" spans="38:38" x14ac:dyDescent="0.25">
      <c r="AL803" s="133"/>
    </row>
    <row r="804" spans="38:38" x14ac:dyDescent="0.25">
      <c r="AL804" s="133"/>
    </row>
    <row r="805" spans="38:38" x14ac:dyDescent="0.25">
      <c r="AL805" s="133"/>
    </row>
    <row r="806" spans="38:38" x14ac:dyDescent="0.25">
      <c r="AL806" s="133"/>
    </row>
    <row r="807" spans="38:38" x14ac:dyDescent="0.25">
      <c r="AL807" s="133"/>
    </row>
    <row r="808" spans="38:38" x14ac:dyDescent="0.25">
      <c r="AL808" s="133"/>
    </row>
    <row r="809" spans="38:38" x14ac:dyDescent="0.25">
      <c r="AL809" s="133"/>
    </row>
    <row r="810" spans="38:38" x14ac:dyDescent="0.25">
      <c r="AL810" s="133"/>
    </row>
    <row r="811" spans="38:38" x14ac:dyDescent="0.25">
      <c r="AL811" s="133"/>
    </row>
    <row r="812" spans="38:38" x14ac:dyDescent="0.25">
      <c r="AL812" s="133"/>
    </row>
    <row r="813" spans="38:38" x14ac:dyDescent="0.25">
      <c r="AL813" s="133"/>
    </row>
    <row r="814" spans="38:38" x14ac:dyDescent="0.25">
      <c r="AL814" s="133"/>
    </row>
    <row r="815" spans="38:38" x14ac:dyDescent="0.25">
      <c r="AL815" s="133"/>
    </row>
    <row r="816" spans="38:38" x14ac:dyDescent="0.25">
      <c r="AL816" s="133"/>
    </row>
    <row r="817" spans="38:38" x14ac:dyDescent="0.25">
      <c r="AL817" s="133"/>
    </row>
    <row r="818" spans="38:38" x14ac:dyDescent="0.25">
      <c r="AL818" s="133"/>
    </row>
    <row r="819" spans="38:38" x14ac:dyDescent="0.25">
      <c r="AL819" s="133"/>
    </row>
    <row r="820" spans="38:38" x14ac:dyDescent="0.25">
      <c r="AL820" s="133"/>
    </row>
    <row r="821" spans="38:38" x14ac:dyDescent="0.25">
      <c r="AL821" s="133"/>
    </row>
    <row r="822" spans="38:38" x14ac:dyDescent="0.25">
      <c r="AL822" s="133"/>
    </row>
    <row r="823" spans="38:38" x14ac:dyDescent="0.25">
      <c r="AL823" s="133"/>
    </row>
    <row r="824" spans="38:38" x14ac:dyDescent="0.25">
      <c r="AL824" s="133"/>
    </row>
    <row r="825" spans="38:38" x14ac:dyDescent="0.25">
      <c r="AL825" s="133"/>
    </row>
    <row r="826" spans="38:38" x14ac:dyDescent="0.25">
      <c r="AL826" s="133"/>
    </row>
    <row r="827" spans="38:38" x14ac:dyDescent="0.25">
      <c r="AL827" s="133"/>
    </row>
    <row r="828" spans="38:38" x14ac:dyDescent="0.25">
      <c r="AL828" s="133"/>
    </row>
    <row r="829" spans="38:38" x14ac:dyDescent="0.25">
      <c r="AL829" s="133"/>
    </row>
    <row r="830" spans="38:38" x14ac:dyDescent="0.25">
      <c r="AL830" s="133"/>
    </row>
    <row r="831" spans="38:38" x14ac:dyDescent="0.25">
      <c r="AL831" s="133"/>
    </row>
    <row r="832" spans="38:38" x14ac:dyDescent="0.25">
      <c r="AL832" s="133"/>
    </row>
    <row r="833" spans="38:38" x14ac:dyDescent="0.25">
      <c r="AL833" s="133"/>
    </row>
    <row r="834" spans="38:38" x14ac:dyDescent="0.25">
      <c r="AL834" s="133"/>
    </row>
    <row r="835" spans="38:38" x14ac:dyDescent="0.25">
      <c r="AL835" s="133"/>
    </row>
    <row r="836" spans="38:38" x14ac:dyDescent="0.25">
      <c r="AL836" s="133"/>
    </row>
    <row r="837" spans="38:38" x14ac:dyDescent="0.25">
      <c r="AL837" s="133"/>
    </row>
    <row r="838" spans="38:38" x14ac:dyDescent="0.25">
      <c r="AL838" s="133"/>
    </row>
    <row r="839" spans="38:38" x14ac:dyDescent="0.25">
      <c r="AL839" s="133"/>
    </row>
    <row r="840" spans="38:38" x14ac:dyDescent="0.25">
      <c r="AL840" s="133"/>
    </row>
    <row r="841" spans="38:38" x14ac:dyDescent="0.25">
      <c r="AL841" s="133"/>
    </row>
    <row r="842" spans="38:38" x14ac:dyDescent="0.25">
      <c r="AL842" s="133"/>
    </row>
    <row r="843" spans="38:38" x14ac:dyDescent="0.25">
      <c r="AL843" s="133"/>
    </row>
    <row r="844" spans="38:38" x14ac:dyDescent="0.25">
      <c r="AL844" s="133"/>
    </row>
    <row r="845" spans="38:38" x14ac:dyDescent="0.25">
      <c r="AL845" s="133"/>
    </row>
    <row r="846" spans="38:38" x14ac:dyDescent="0.25">
      <c r="AL846" s="133"/>
    </row>
    <row r="847" spans="38:38" x14ac:dyDescent="0.25">
      <c r="AL847" s="133"/>
    </row>
    <row r="848" spans="38:38" x14ac:dyDescent="0.25">
      <c r="AL848" s="133"/>
    </row>
    <row r="849" spans="38:38" x14ac:dyDescent="0.25">
      <c r="AL849" s="133"/>
    </row>
    <row r="850" spans="38:38" x14ac:dyDescent="0.25">
      <c r="AL850" s="133"/>
    </row>
    <row r="851" spans="38:38" x14ac:dyDescent="0.25">
      <c r="AL851" s="133"/>
    </row>
    <row r="852" spans="38:38" x14ac:dyDescent="0.25">
      <c r="AL852" s="133"/>
    </row>
    <row r="853" spans="38:38" x14ac:dyDescent="0.25">
      <c r="AL853" s="133"/>
    </row>
    <row r="854" spans="38:38" x14ac:dyDescent="0.25">
      <c r="AL854" s="133"/>
    </row>
    <row r="855" spans="38:38" x14ac:dyDescent="0.25">
      <c r="AL855" s="133"/>
    </row>
    <row r="856" spans="38:38" x14ac:dyDescent="0.25">
      <c r="AL856" s="133"/>
    </row>
    <row r="857" spans="38:38" x14ac:dyDescent="0.25">
      <c r="AL857" s="133"/>
    </row>
    <row r="858" spans="38:38" x14ac:dyDescent="0.25">
      <c r="AL858" s="133"/>
    </row>
    <row r="859" spans="38:38" x14ac:dyDescent="0.25">
      <c r="AL859" s="133"/>
    </row>
    <row r="860" spans="38:38" x14ac:dyDescent="0.25">
      <c r="AL860" s="133"/>
    </row>
    <row r="861" spans="38:38" x14ac:dyDescent="0.25">
      <c r="AL861" s="133"/>
    </row>
    <row r="862" spans="38:38" x14ac:dyDescent="0.25">
      <c r="AL862" s="133"/>
    </row>
    <row r="863" spans="38:38" x14ac:dyDescent="0.25">
      <c r="AL863" s="133"/>
    </row>
    <row r="864" spans="38:38" x14ac:dyDescent="0.25">
      <c r="AL864" s="133"/>
    </row>
    <row r="865" spans="38:38" x14ac:dyDescent="0.25">
      <c r="AL865" s="133"/>
    </row>
  </sheetData>
  <sheetProtection algorithmName="SHA-512" hashValue="9ZlqvCrI7KwmOaWO4xlH3qC90qniugSy6Aj/LGE2C/TvdpwpnFLZKB4q9o8iZwxuMRAuIvFEFL1I+Gf4KMREzg==" saltValue="/8t0YmY5u291z4miTjlJ2Q==" spinCount="100000" sheet="1" objects="1" scenarios="1"/>
  <mergeCells count="657">
    <mergeCell ref="BM345:BN345"/>
    <mergeCell ref="Q40:R40"/>
    <mergeCell ref="Q134:R134"/>
    <mergeCell ref="Q231:R231"/>
    <mergeCell ref="Q327:R327"/>
    <mergeCell ref="CU32:CV32"/>
    <mergeCell ref="CU33:CV33"/>
    <mergeCell ref="BM289:BN289"/>
    <mergeCell ref="BM198:BN198"/>
    <mergeCell ref="BM187:BN187"/>
    <mergeCell ref="BM188:BN188"/>
    <mergeCell ref="BM199:BN199"/>
    <mergeCell ref="BM200:BN200"/>
    <mergeCell ref="BM201:BN201"/>
    <mergeCell ref="BM193:BN193"/>
    <mergeCell ref="BB143:BC143"/>
    <mergeCell ref="BB144:BC144"/>
    <mergeCell ref="BB145:BC145"/>
    <mergeCell ref="BB128:BC128"/>
    <mergeCell ref="BB126:BD126"/>
    <mergeCell ref="AN164:AO164"/>
    <mergeCell ref="AN344:AO344"/>
    <mergeCell ref="AN345:AO345"/>
    <mergeCell ref="BB139:BC139"/>
    <mergeCell ref="D5:G7"/>
    <mergeCell ref="I6:L8"/>
    <mergeCell ref="I9:L10"/>
    <mergeCell ref="I21:L30"/>
    <mergeCell ref="E8:F8"/>
    <mergeCell ref="CO8:CP8"/>
    <mergeCell ref="CO9:CP9"/>
    <mergeCell ref="CH26:CJ26"/>
    <mergeCell ref="CH27:CJ27"/>
    <mergeCell ref="CH28:CJ28"/>
    <mergeCell ref="CH29:CJ29"/>
    <mergeCell ref="CH30:CJ30"/>
    <mergeCell ref="CM13:CN13"/>
    <mergeCell ref="CM14:CN14"/>
    <mergeCell ref="K16:L16"/>
    <mergeCell ref="K15:L15"/>
    <mergeCell ref="K14:L14"/>
    <mergeCell ref="K13:L13"/>
    <mergeCell ref="K12:L12"/>
    <mergeCell ref="K11:L11"/>
    <mergeCell ref="I17:J17"/>
    <mergeCell ref="I16:J16"/>
    <mergeCell ref="I15:J15"/>
    <mergeCell ref="I14:J14"/>
    <mergeCell ref="BM185:BN185"/>
    <mergeCell ref="CU26:CV26"/>
    <mergeCell ref="CU27:CV27"/>
    <mergeCell ref="CH17:CJ17"/>
    <mergeCell ref="CK18:CL18"/>
    <mergeCell ref="CK17:CL17"/>
    <mergeCell ref="CH18:CJ18"/>
    <mergeCell ref="CO17:CP17"/>
    <mergeCell ref="CO18:CP18"/>
    <mergeCell ref="CU17:CV17"/>
    <mergeCell ref="CU18:CV18"/>
    <mergeCell ref="CM17:CN17"/>
    <mergeCell ref="CU29:CV29"/>
    <mergeCell ref="CU30:CV30"/>
    <mergeCell ref="BM284:BN284"/>
    <mergeCell ref="BM285:BN285"/>
    <mergeCell ref="BM286:BN286"/>
    <mergeCell ref="BM287:BN287"/>
    <mergeCell ref="BM288:BN288"/>
    <mergeCell ref="BM202:BN202"/>
    <mergeCell ref="BM203:BN203"/>
    <mergeCell ref="BM204:BN204"/>
    <mergeCell ref="BM205:BN205"/>
    <mergeCell ref="BM183:BN183"/>
    <mergeCell ref="BM184:BN184"/>
    <mergeCell ref="BM186:BN186"/>
    <mergeCell ref="BM189:BN189"/>
    <mergeCell ref="BM190:BN190"/>
    <mergeCell ref="BM191:BN191"/>
    <mergeCell ref="BM192:BN192"/>
    <mergeCell ref="BM194:BN194"/>
    <mergeCell ref="BM195:BN195"/>
    <mergeCell ref="BM196:BN196"/>
    <mergeCell ref="BM197:BN197"/>
    <mergeCell ref="CU34:CV34"/>
    <mergeCell ref="CU35:CV35"/>
    <mergeCell ref="CU8:CV8"/>
    <mergeCell ref="CU9:CV9"/>
    <mergeCell ref="CU13:CV13"/>
    <mergeCell ref="CU14:CV14"/>
    <mergeCell ref="CH13:CJ13"/>
    <mergeCell ref="CH14:CJ14"/>
    <mergeCell ref="CK13:CL13"/>
    <mergeCell ref="CK14:CL14"/>
    <mergeCell ref="CO14:CP14"/>
    <mergeCell ref="CO13:CP13"/>
    <mergeCell ref="CM8:CN8"/>
    <mergeCell ref="CM9:CN9"/>
    <mergeCell ref="CH8:CJ8"/>
    <mergeCell ref="CH9:CJ9"/>
    <mergeCell ref="CH10:CJ10"/>
    <mergeCell ref="CH11:CJ11"/>
    <mergeCell ref="CK8:CL8"/>
    <mergeCell ref="CK9:CL9"/>
    <mergeCell ref="CQ13:CR13"/>
    <mergeCell ref="CQ14:CR14"/>
    <mergeCell ref="BM367:BN367"/>
    <mergeCell ref="BM368:BN368"/>
    <mergeCell ref="BM343:BN343"/>
    <mergeCell ref="BM344:BN344"/>
    <mergeCell ref="BM346:BN346"/>
    <mergeCell ref="BM355:BN355"/>
    <mergeCell ref="BM356:BN356"/>
    <mergeCell ref="BM357:BN357"/>
    <mergeCell ref="BM358:BN358"/>
    <mergeCell ref="BM359:BN359"/>
    <mergeCell ref="BM360:BN360"/>
    <mergeCell ref="BM361:BN361"/>
    <mergeCell ref="BM362:BN362"/>
    <mergeCell ref="BM363:BN363"/>
    <mergeCell ref="BM354:BN354"/>
    <mergeCell ref="BM353:BN353"/>
    <mergeCell ref="BM352:BN352"/>
    <mergeCell ref="BM364:BN364"/>
    <mergeCell ref="BM365:BN365"/>
    <mergeCell ref="BM366:BN366"/>
    <mergeCell ref="BM351:BN351"/>
    <mergeCell ref="BM350:BN350"/>
    <mergeCell ref="BM349:BN349"/>
    <mergeCell ref="BM348:BN348"/>
    <mergeCell ref="AN351:AO351"/>
    <mergeCell ref="AN352:AO352"/>
    <mergeCell ref="AN356:AO356"/>
    <mergeCell ref="AN357:AO357"/>
    <mergeCell ref="AN358:AO358"/>
    <mergeCell ref="AN353:AO353"/>
    <mergeCell ref="AN354:AO354"/>
    <mergeCell ref="AN355:AO355"/>
    <mergeCell ref="AN166:AO166"/>
    <mergeCell ref="AN346:AO346"/>
    <mergeCell ref="AN349:AO349"/>
    <mergeCell ref="AN350:AO350"/>
    <mergeCell ref="BB140:BC140"/>
    <mergeCell ref="BB131:BC131"/>
    <mergeCell ref="BB130:BC130"/>
    <mergeCell ref="BB129:BC129"/>
    <mergeCell ref="BB142:BC142"/>
    <mergeCell ref="AN167:AO167"/>
    <mergeCell ref="AN359:AO359"/>
    <mergeCell ref="BB322:BC322"/>
    <mergeCell ref="BB323:BC323"/>
    <mergeCell ref="BB324:BC324"/>
    <mergeCell ref="BB325:BC325"/>
    <mergeCell ref="BB326:BC326"/>
    <mergeCell ref="BB327:BC327"/>
    <mergeCell ref="BB328:BC328"/>
    <mergeCell ref="BB329:BC329"/>
    <mergeCell ref="BB330:BC330"/>
    <mergeCell ref="BB331:BC331"/>
    <mergeCell ref="BB332:BC332"/>
    <mergeCell ref="BB333:BC333"/>
    <mergeCell ref="BB334:BC334"/>
    <mergeCell ref="BB335:BC335"/>
    <mergeCell ref="BB336:BC336"/>
    <mergeCell ref="AN168:AO168"/>
    <mergeCell ref="AN169:AO169"/>
    <mergeCell ref="AN160:AO160"/>
    <mergeCell ref="AN154:AO154"/>
    <mergeCell ref="BX6:CD6"/>
    <mergeCell ref="AC62:AD62"/>
    <mergeCell ref="AC61:AD61"/>
    <mergeCell ref="AC60:AD60"/>
    <mergeCell ref="AC59:AD59"/>
    <mergeCell ref="AC58:AD58"/>
    <mergeCell ref="AN67:AO67"/>
    <mergeCell ref="AN68:AO68"/>
    <mergeCell ref="AN69:AO69"/>
    <mergeCell ref="BB46:BC46"/>
    <mergeCell ref="BB47:BC47"/>
    <mergeCell ref="BB48:BC48"/>
    <mergeCell ref="BB49:BC49"/>
    <mergeCell ref="BB50:BC50"/>
    <mergeCell ref="BB41:BC41"/>
    <mergeCell ref="AC51:AD51"/>
    <mergeCell ref="BM77:BN77"/>
    <mergeCell ref="BM78:BN78"/>
    <mergeCell ref="BM79:BN79"/>
    <mergeCell ref="BM29:BV29"/>
    <mergeCell ref="BS70:BT70"/>
    <mergeCell ref="BB38:BD38"/>
    <mergeCell ref="BB29:BK29"/>
    <mergeCell ref="AN61:AO61"/>
    <mergeCell ref="Y63:Z63"/>
    <mergeCell ref="AC54:AD54"/>
    <mergeCell ref="AC52:AD52"/>
    <mergeCell ref="AC53:AD53"/>
    <mergeCell ref="AF50:AG50"/>
    <mergeCell ref="BB40:BC40"/>
    <mergeCell ref="BB39:BC39"/>
    <mergeCell ref="AN63:AO63"/>
    <mergeCell ref="AC57:AD57"/>
    <mergeCell ref="BB45:BC45"/>
    <mergeCell ref="AC50:AE50"/>
    <mergeCell ref="AN58:AO58"/>
    <mergeCell ref="AN59:AO59"/>
    <mergeCell ref="AC55:AD55"/>
    <mergeCell ref="AC56:AD56"/>
    <mergeCell ref="AN60:AO60"/>
    <mergeCell ref="AN64:AO64"/>
    <mergeCell ref="AN70:AO70"/>
    <mergeCell ref="AN71:AO71"/>
    <mergeCell ref="AN65:AO65"/>
    <mergeCell ref="AN66:AO66"/>
    <mergeCell ref="AN62:AO62"/>
    <mergeCell ref="U29:Z29"/>
    <mergeCell ref="AC29:AJ29"/>
    <mergeCell ref="AL29:AW29"/>
    <mergeCell ref="U72:V72"/>
    <mergeCell ref="U71:V71"/>
    <mergeCell ref="U74:V74"/>
    <mergeCell ref="U75:V75"/>
    <mergeCell ref="U76:V76"/>
    <mergeCell ref="Q32:R32"/>
    <mergeCell ref="Q33:R33"/>
    <mergeCell ref="Q34:R34"/>
    <mergeCell ref="Q41:S41"/>
    <mergeCell ref="U67:V67"/>
    <mergeCell ref="U68:V68"/>
    <mergeCell ref="U69:V69"/>
    <mergeCell ref="U70:V70"/>
    <mergeCell ref="U73:V73"/>
    <mergeCell ref="U63:W63"/>
    <mergeCell ref="Q39:R39"/>
    <mergeCell ref="E23:F23"/>
    <mergeCell ref="E30:F30"/>
    <mergeCell ref="Q29:S29"/>
    <mergeCell ref="Q35:R35"/>
    <mergeCell ref="Q36:R36"/>
    <mergeCell ref="Q37:R37"/>
    <mergeCell ref="Q38:R38"/>
    <mergeCell ref="Q131:R131"/>
    <mergeCell ref="Q129:R129"/>
    <mergeCell ref="Q30:R30"/>
    <mergeCell ref="Q31:R31"/>
    <mergeCell ref="AN148:AO148"/>
    <mergeCell ref="AN165:AO165"/>
    <mergeCell ref="K17:L17"/>
    <mergeCell ref="I13:J13"/>
    <mergeCell ref="I12:J12"/>
    <mergeCell ref="I11:J11"/>
    <mergeCell ref="I19:L20"/>
    <mergeCell ref="D31:G33"/>
    <mergeCell ref="U150:V150"/>
    <mergeCell ref="U149:W149"/>
    <mergeCell ref="Q128:R128"/>
    <mergeCell ref="Q125:R125"/>
    <mergeCell ref="Q130:R130"/>
    <mergeCell ref="U77:V77"/>
    <mergeCell ref="U78:V78"/>
    <mergeCell ref="U79:V79"/>
    <mergeCell ref="U80:V80"/>
    <mergeCell ref="U81:V81"/>
    <mergeCell ref="U83:V83"/>
    <mergeCell ref="E28:F28"/>
    <mergeCell ref="D12:E12"/>
    <mergeCell ref="D18:E18"/>
    <mergeCell ref="F12:G12"/>
    <mergeCell ref="F18:G18"/>
    <mergeCell ref="U152:V152"/>
    <mergeCell ref="U153:V153"/>
    <mergeCell ref="U151:V151"/>
    <mergeCell ref="AN156:AO156"/>
    <mergeCell ref="AN157:AO157"/>
    <mergeCell ref="AN152:AO152"/>
    <mergeCell ref="AN151:AO151"/>
    <mergeCell ref="AN150:AO150"/>
    <mergeCell ref="AN149:AO149"/>
    <mergeCell ref="AC157:AD157"/>
    <mergeCell ref="AC151:AD151"/>
    <mergeCell ref="AC152:AD152"/>
    <mergeCell ref="AC153:AD153"/>
    <mergeCell ref="AC154:AD154"/>
    <mergeCell ref="AC155:AD155"/>
    <mergeCell ref="AC156:AD156"/>
    <mergeCell ref="U84:V84"/>
    <mergeCell ref="U85:V85"/>
    <mergeCell ref="AC142:AD142"/>
    <mergeCell ref="AC139:AD139"/>
    <mergeCell ref="AC141:AD141"/>
    <mergeCell ref="Q132:R132"/>
    <mergeCell ref="Q135:S135"/>
    <mergeCell ref="AC117:AF117"/>
    <mergeCell ref="Q133:R133"/>
    <mergeCell ref="Q118:S118"/>
    <mergeCell ref="Q124:R124"/>
    <mergeCell ref="Q126:R126"/>
    <mergeCell ref="Q127:R127"/>
    <mergeCell ref="Q119:R119"/>
    <mergeCell ref="Q120:R120"/>
    <mergeCell ref="Q121:R121"/>
    <mergeCell ref="Q122:R122"/>
    <mergeCell ref="Q123:R123"/>
    <mergeCell ref="Q314:R314"/>
    <mergeCell ref="Q315:R315"/>
    <mergeCell ref="Q316:R316"/>
    <mergeCell ref="Q317:R317"/>
    <mergeCell ref="U351:V351"/>
    <mergeCell ref="U65:V65"/>
    <mergeCell ref="U66:V66"/>
    <mergeCell ref="U64:V64"/>
    <mergeCell ref="U172:V172"/>
    <mergeCell ref="U170:V170"/>
    <mergeCell ref="U156:V156"/>
    <mergeCell ref="U157:V157"/>
    <mergeCell ref="U158:V158"/>
    <mergeCell ref="U169:V169"/>
    <mergeCell ref="U168:V168"/>
    <mergeCell ref="U155:V155"/>
    <mergeCell ref="U154:V154"/>
    <mergeCell ref="U339:V339"/>
    <mergeCell ref="U340:V340"/>
    <mergeCell ref="U341:V341"/>
    <mergeCell ref="U338:V338"/>
    <mergeCell ref="U245:V245"/>
    <mergeCell ref="U166:V166"/>
    <mergeCell ref="U82:V82"/>
    <mergeCell ref="AC340:AD340"/>
    <mergeCell ref="AC341:AD341"/>
    <mergeCell ref="AC349:AD349"/>
    <mergeCell ref="AC332:AD332"/>
    <mergeCell ref="AC350:AD350"/>
    <mergeCell ref="Q328:S328"/>
    <mergeCell ref="Q340:S340"/>
    <mergeCell ref="U304:Z304"/>
    <mergeCell ref="U337:W337"/>
    <mergeCell ref="Y337:Z337"/>
    <mergeCell ref="Q318:R318"/>
    <mergeCell ref="Q319:R319"/>
    <mergeCell ref="Q320:R320"/>
    <mergeCell ref="Q321:R321"/>
    <mergeCell ref="Q322:R322"/>
    <mergeCell ref="Q323:R323"/>
    <mergeCell ref="Q324:R324"/>
    <mergeCell ref="Q325:R325"/>
    <mergeCell ref="Q326:R326"/>
    <mergeCell ref="Q310:S310"/>
    <mergeCell ref="Q311:R311"/>
    <mergeCell ref="Q312:R312"/>
    <mergeCell ref="Q313:R313"/>
    <mergeCell ref="AC328:AD328"/>
    <mergeCell ref="U364:V364"/>
    <mergeCell ref="AC158:AD158"/>
    <mergeCell ref="U365:V365"/>
    <mergeCell ref="AC329:AD329"/>
    <mergeCell ref="U356:V356"/>
    <mergeCell ref="U357:V357"/>
    <mergeCell ref="U358:V358"/>
    <mergeCell ref="U359:V359"/>
    <mergeCell ref="U360:V360"/>
    <mergeCell ref="U361:V361"/>
    <mergeCell ref="U362:V362"/>
    <mergeCell ref="U342:V342"/>
    <mergeCell ref="U343:V343"/>
    <mergeCell ref="U344:V344"/>
    <mergeCell ref="U345:V345"/>
    <mergeCell ref="U346:V346"/>
    <mergeCell ref="U350:V350"/>
    <mergeCell ref="U352:V352"/>
    <mergeCell ref="U353:V353"/>
    <mergeCell ref="U354:V354"/>
    <mergeCell ref="U355:V355"/>
    <mergeCell ref="AC337:AD337"/>
    <mergeCell ref="AC338:AD338"/>
    <mergeCell ref="AC339:AD339"/>
    <mergeCell ref="AG117:AJ117"/>
    <mergeCell ref="AC144:AD144"/>
    <mergeCell ref="U366:V366"/>
    <mergeCell ref="U367:V367"/>
    <mergeCell ref="BB117:BE117"/>
    <mergeCell ref="BF117:BI117"/>
    <mergeCell ref="BF128:BG128"/>
    <mergeCell ref="BM182:BO182"/>
    <mergeCell ref="AC116:AJ116"/>
    <mergeCell ref="AL116:AW116"/>
    <mergeCell ref="BB116:BK116"/>
    <mergeCell ref="BM116:BV116"/>
    <mergeCell ref="BB127:BC127"/>
    <mergeCell ref="BB314:BC314"/>
    <mergeCell ref="BB315:BC315"/>
    <mergeCell ref="BB316:BC316"/>
    <mergeCell ref="BB317:BC317"/>
    <mergeCell ref="BB318:BC318"/>
    <mergeCell ref="BB319:BC319"/>
    <mergeCell ref="BB320:BC320"/>
    <mergeCell ref="BB321:BC321"/>
    <mergeCell ref="U363:V363"/>
    <mergeCell ref="AC325:AD325"/>
    <mergeCell ref="U116:AA116"/>
    <mergeCell ref="BB137:BC137"/>
    <mergeCell ref="BB138:BC138"/>
    <mergeCell ref="AC143:AD143"/>
    <mergeCell ref="BM206:BN206"/>
    <mergeCell ref="AL117:AQ117"/>
    <mergeCell ref="AR117:AW117"/>
    <mergeCell ref="AR150:AS150"/>
    <mergeCell ref="AN158:AO158"/>
    <mergeCell ref="U159:V159"/>
    <mergeCell ref="U164:V164"/>
    <mergeCell ref="U163:V163"/>
    <mergeCell ref="U162:V162"/>
    <mergeCell ref="U161:V161"/>
    <mergeCell ref="U160:V160"/>
    <mergeCell ref="AC148:AD148"/>
    <mergeCell ref="AC147:AD147"/>
    <mergeCell ref="AC146:AD146"/>
    <mergeCell ref="AC150:AD150"/>
    <mergeCell ref="AC149:AD149"/>
    <mergeCell ref="BB134:BC134"/>
    <mergeCell ref="BB133:BC133"/>
    <mergeCell ref="Y140:Z140"/>
    <mergeCell ref="AC140:AD140"/>
    <mergeCell ref="AC138:AD138"/>
    <mergeCell ref="Q147:S147"/>
    <mergeCell ref="AG139:AH139"/>
    <mergeCell ref="AN170:AO170"/>
    <mergeCell ref="AN171:AO171"/>
    <mergeCell ref="BB149:BC149"/>
    <mergeCell ref="AN147:AO147"/>
    <mergeCell ref="AN146:AP146"/>
    <mergeCell ref="AN153:AO153"/>
    <mergeCell ref="AN155:AO155"/>
    <mergeCell ref="BB141:BC141"/>
    <mergeCell ref="AN159:AO159"/>
    <mergeCell ref="AN162:AO162"/>
    <mergeCell ref="AN163:AO163"/>
    <mergeCell ref="AC145:AD145"/>
    <mergeCell ref="U171:V171"/>
    <mergeCell ref="AC161:AD161"/>
    <mergeCell ref="AC159:AD159"/>
    <mergeCell ref="AC160:AD160"/>
    <mergeCell ref="AN161:AO161"/>
    <mergeCell ref="BB146:BC146"/>
    <mergeCell ref="BB147:BC147"/>
    <mergeCell ref="BB148:BC148"/>
    <mergeCell ref="U167:V167"/>
    <mergeCell ref="U165:V165"/>
    <mergeCell ref="BM75:BN75"/>
    <mergeCell ref="BB44:BC44"/>
    <mergeCell ref="BM73:BN73"/>
    <mergeCell ref="BM76:BN76"/>
    <mergeCell ref="BB42:BC42"/>
    <mergeCell ref="AR43:AS43"/>
    <mergeCell ref="BB43:BC43"/>
    <mergeCell ref="BB135:BC135"/>
    <mergeCell ref="BB136:BC136"/>
    <mergeCell ref="BM70:BN70"/>
    <mergeCell ref="BM69:BN69"/>
    <mergeCell ref="BM71:BN71"/>
    <mergeCell ref="BM80:BN80"/>
    <mergeCell ref="BM81:BN81"/>
    <mergeCell ref="BM72:BN72"/>
    <mergeCell ref="BM74:BN74"/>
    <mergeCell ref="BB132:BC132"/>
    <mergeCell ref="BM68:BO68"/>
    <mergeCell ref="BM210:BV210"/>
    <mergeCell ref="Q215:R215"/>
    <mergeCell ref="AC211:AF211"/>
    <mergeCell ref="AG211:AJ211"/>
    <mergeCell ref="AL211:AQ211"/>
    <mergeCell ref="AR211:AW211"/>
    <mergeCell ref="BB211:BE211"/>
    <mergeCell ref="BF211:BI211"/>
    <mergeCell ref="Q221:R221"/>
    <mergeCell ref="Q216:R216"/>
    <mergeCell ref="Q217:R217"/>
    <mergeCell ref="Q218:R218"/>
    <mergeCell ref="Q219:R219"/>
    <mergeCell ref="Q220:R220"/>
    <mergeCell ref="BB220:BD220"/>
    <mergeCell ref="BB221:BC221"/>
    <mergeCell ref="Q214:S214"/>
    <mergeCell ref="U210:AA210"/>
    <mergeCell ref="AC210:AJ210"/>
    <mergeCell ref="AL210:AW210"/>
    <mergeCell ref="BB210:BK210"/>
    <mergeCell ref="BB222:BC222"/>
    <mergeCell ref="BF222:BG222"/>
    <mergeCell ref="Q227:R227"/>
    <mergeCell ref="BB223:BC223"/>
    <mergeCell ref="Q228:R228"/>
    <mergeCell ref="BB224:BC224"/>
    <mergeCell ref="Q229:R229"/>
    <mergeCell ref="Q232:S232"/>
    <mergeCell ref="BB225:BC225"/>
    <mergeCell ref="BB226:BC226"/>
    <mergeCell ref="Q226:R226"/>
    <mergeCell ref="Q230:R230"/>
    <mergeCell ref="BB227:BC227"/>
    <mergeCell ref="BB228:BC228"/>
    <mergeCell ref="BB229:BC229"/>
    <mergeCell ref="BB230:BC230"/>
    <mergeCell ref="BB231:BC231"/>
    <mergeCell ref="AC232:AD232"/>
    <mergeCell ref="BB232:BC232"/>
    <mergeCell ref="Q222:R222"/>
    <mergeCell ref="Q223:R223"/>
    <mergeCell ref="Q224:R224"/>
    <mergeCell ref="Q225:R225"/>
    <mergeCell ref="BB233:BC233"/>
    <mergeCell ref="Y234:Z234"/>
    <mergeCell ref="AC234:AD234"/>
    <mergeCell ref="BB234:BC234"/>
    <mergeCell ref="AC235:AD235"/>
    <mergeCell ref="BB235:BC235"/>
    <mergeCell ref="AC236:AD236"/>
    <mergeCell ref="BB236:BC236"/>
    <mergeCell ref="Q244:S244"/>
    <mergeCell ref="AC237:AD237"/>
    <mergeCell ref="BB237:BC237"/>
    <mergeCell ref="AC233:AD233"/>
    <mergeCell ref="AG233:AH233"/>
    <mergeCell ref="BB238:BC238"/>
    <mergeCell ref="AC239:AD239"/>
    <mergeCell ref="BB239:BC239"/>
    <mergeCell ref="AC240:AD240"/>
    <mergeCell ref="AN240:AP240"/>
    <mergeCell ref="BB240:BC240"/>
    <mergeCell ref="AC241:AD241"/>
    <mergeCell ref="AN241:AO241"/>
    <mergeCell ref="BB241:BC241"/>
    <mergeCell ref="AC238:AD238"/>
    <mergeCell ref="BB242:BC242"/>
    <mergeCell ref="U243:W243"/>
    <mergeCell ref="AC243:AD243"/>
    <mergeCell ref="AN243:AO243"/>
    <mergeCell ref="BB243:BC243"/>
    <mergeCell ref="U244:V244"/>
    <mergeCell ref="AC244:AD244"/>
    <mergeCell ref="AN244:AO244"/>
    <mergeCell ref="AR244:AS244"/>
    <mergeCell ref="AC242:AD242"/>
    <mergeCell ref="AN242:AO242"/>
    <mergeCell ref="AC245:AD245"/>
    <mergeCell ref="AN245:AO245"/>
    <mergeCell ref="U246:V246"/>
    <mergeCell ref="AC246:AD246"/>
    <mergeCell ref="AN246:AO246"/>
    <mergeCell ref="U247:V247"/>
    <mergeCell ref="AC247:AD247"/>
    <mergeCell ref="AN247:AO247"/>
    <mergeCell ref="U248:V248"/>
    <mergeCell ref="AC248:AD248"/>
    <mergeCell ref="AN248:AO248"/>
    <mergeCell ref="AC249:AD249"/>
    <mergeCell ref="AN249:AO249"/>
    <mergeCell ref="U250:V250"/>
    <mergeCell ref="AC250:AD250"/>
    <mergeCell ref="AN250:AO250"/>
    <mergeCell ref="U251:V251"/>
    <mergeCell ref="AC251:AD251"/>
    <mergeCell ref="AN251:AO251"/>
    <mergeCell ref="U252:V252"/>
    <mergeCell ref="AC252:AD252"/>
    <mergeCell ref="AN252:AO252"/>
    <mergeCell ref="U249:V249"/>
    <mergeCell ref="AC253:AD253"/>
    <mergeCell ref="AN253:AO253"/>
    <mergeCell ref="U254:V254"/>
    <mergeCell ref="AC254:AD254"/>
    <mergeCell ref="AN254:AO254"/>
    <mergeCell ref="U255:V255"/>
    <mergeCell ref="AC255:AD255"/>
    <mergeCell ref="AN255:AO255"/>
    <mergeCell ref="U256:V256"/>
    <mergeCell ref="AN256:AO256"/>
    <mergeCell ref="U253:V253"/>
    <mergeCell ref="U266:V266"/>
    <mergeCell ref="U257:V257"/>
    <mergeCell ref="AN257:AO257"/>
    <mergeCell ref="U258:V258"/>
    <mergeCell ref="AN258:AO258"/>
    <mergeCell ref="U259:V259"/>
    <mergeCell ref="AN259:AO259"/>
    <mergeCell ref="U260:V260"/>
    <mergeCell ref="AN260:AO260"/>
    <mergeCell ref="U261:V261"/>
    <mergeCell ref="AN261:AO261"/>
    <mergeCell ref="U349:V349"/>
    <mergeCell ref="AN337:AO337"/>
    <mergeCell ref="AN336:AO336"/>
    <mergeCell ref="AN335:AO335"/>
    <mergeCell ref="AN334:AO334"/>
    <mergeCell ref="AN333:AP333"/>
    <mergeCell ref="BM347:BN347"/>
    <mergeCell ref="BM342:BO342"/>
    <mergeCell ref="BM296:BN296"/>
    <mergeCell ref="BM297:BN297"/>
    <mergeCell ref="BM298:BN298"/>
    <mergeCell ref="BM299:BN299"/>
    <mergeCell ref="AC333:AD333"/>
    <mergeCell ref="AC334:AD334"/>
    <mergeCell ref="AC335:AD335"/>
    <mergeCell ref="AC336:AD336"/>
    <mergeCell ref="AC327:AD327"/>
    <mergeCell ref="AC342:AD342"/>
    <mergeCell ref="AC330:AD330"/>
    <mergeCell ref="AC331:AD331"/>
    <mergeCell ref="AC344:AD344"/>
    <mergeCell ref="AC345:AD345"/>
    <mergeCell ref="AC346:AD346"/>
    <mergeCell ref="AC347:AD347"/>
    <mergeCell ref="U348:V348"/>
    <mergeCell ref="U347:V347"/>
    <mergeCell ref="AC348:AD348"/>
    <mergeCell ref="BB304:BE304"/>
    <mergeCell ref="BF304:BK304"/>
    <mergeCell ref="AL304:AW304"/>
    <mergeCell ref="AC304:AJ304"/>
    <mergeCell ref="BM290:BN290"/>
    <mergeCell ref="BM291:BN291"/>
    <mergeCell ref="BM292:BN292"/>
    <mergeCell ref="BM293:BN293"/>
    <mergeCell ref="BM294:BN294"/>
    <mergeCell ref="BM295:BN295"/>
    <mergeCell ref="BB313:BD313"/>
    <mergeCell ref="BB337:BC337"/>
    <mergeCell ref="BB338:BC338"/>
    <mergeCell ref="AN347:AO347"/>
    <mergeCell ref="AN348:AO348"/>
    <mergeCell ref="AN338:AO338"/>
    <mergeCell ref="AN339:AO339"/>
    <mergeCell ref="AN340:AO340"/>
    <mergeCell ref="AN341:AO341"/>
    <mergeCell ref="AN342:AO342"/>
    <mergeCell ref="AN343:AO343"/>
    <mergeCell ref="CS79:CT79"/>
    <mergeCell ref="CQ79:CR79"/>
    <mergeCell ref="CQ80:CR80"/>
    <mergeCell ref="CQ81:CR81"/>
    <mergeCell ref="CQ82:CR82"/>
    <mergeCell ref="D3:G4"/>
    <mergeCell ref="AC326:AD326"/>
    <mergeCell ref="AC343:AD343"/>
    <mergeCell ref="BM276:BO276"/>
    <mergeCell ref="BM277:BN277"/>
    <mergeCell ref="BM278:BN278"/>
    <mergeCell ref="BM279:BN279"/>
    <mergeCell ref="BM280:BN280"/>
    <mergeCell ref="BM281:BN281"/>
    <mergeCell ref="BM282:BN282"/>
    <mergeCell ref="BM283:BN283"/>
    <mergeCell ref="U262:V262"/>
    <mergeCell ref="AN262:AO262"/>
    <mergeCell ref="U263:V263"/>
    <mergeCell ref="AN263:AO263"/>
    <mergeCell ref="U264:V264"/>
    <mergeCell ref="AN264:AO264"/>
    <mergeCell ref="U265:V265"/>
    <mergeCell ref="AN265:AO265"/>
  </mergeCells>
  <phoneticPr fontId="9" type="noConversion"/>
  <conditionalFormatting sqref="CH8:CJ8">
    <cfRule type="containsText" dxfId="189" priority="10" operator="containsText" text="The user-inputted variables for &quot;Rev Rate&quot; and &quot;Total Differential&quot; can result in tracking issues with the VLS recommended Pin-To-PAP Distance. Please evaluate with a pro shop professional prior to drilling.">
      <formula>NOT(ISERROR(SEARCH("The user-inputted variables for ""Rev Rate"" and ""Total Differential"" can result in tracking issues with the VLS recommended Pin-To-PAP Distance. Please evaluate with a pro shop professional prior to drilling.",CH8)))</formula>
    </cfRule>
  </conditionalFormatting>
  <conditionalFormatting sqref="I31:L31 I21">
    <cfRule type="containsText" dxfId="188" priority="5" operator="containsText" text="VLS">
      <formula>NOT(ISERROR(SEARCH("VLS",I21)))</formula>
    </cfRule>
    <cfRule type="containsText" dxfId="187" priority="6" operator="containsText" text="Warning messages will prompt here if any data is entered that can potentially cause tracking issues. Evaluate with a pro shop professional prior to drilling.">
      <formula>NOT(ISERROR(SEARCH("Warning messages will prompt here if any data is entered that can potentially cause tracking issues. Evaluate with a pro shop professional prior to drilling.",I21)))</formula>
    </cfRule>
  </conditionalFormatting>
  <conditionalFormatting sqref="I21:L30">
    <cfRule type="beginsWith" dxfId="186" priority="4" operator="beginsWith" text="Please">
      <formula>LEFT(I21,LEN("Please"))="Please"</formula>
    </cfRule>
    <cfRule type="containsText" dxfId="185" priority="1" operator="containsText" text="1/2">
      <formula>NOT(ISERROR(SEARCH("1/2",I21)))</formula>
    </cfRule>
  </conditionalFormatting>
  <conditionalFormatting sqref="E13:E16 G13:G16 E19:E21 G19:G21">
    <cfRule type="containsBlanks" dxfId="184" priority="3">
      <formula>LEN(TRIM(E13))=0</formula>
    </cfRule>
  </conditionalFormatting>
  <conditionalFormatting sqref="G21">
    <cfRule type="cellIs" dxfId="183" priority="2" operator="greaterThan">
      <formula>$G$20/2</formula>
    </cfRule>
  </conditionalFormatting>
  <dataValidations xWindow="291" yWindow="491" count="14">
    <dataValidation type="list" allowBlank="1" showInputMessage="1" showErrorMessage="1" sqref="E21" xr:uid="{F6108D59-0D15-4B16-92E4-261555AB8C17}">
      <formula1>$AR$31:$AR$37</formula1>
    </dataValidation>
    <dataValidation type="list" allowBlank="1" showInputMessage="1" showErrorMessage="1" sqref="E13" xr:uid="{3ED4320F-5836-49E3-8340-CAB18E40D9A1}">
      <formula1>$U$31:$U$61</formula1>
    </dataValidation>
    <dataValidation type="list" allowBlank="1" showInputMessage="1" showErrorMessage="1" sqref="E15" xr:uid="{1CDCA781-CD7A-444C-94FA-66DEE3C01FD0}">
      <formula1>$AC$31:$AC$48</formula1>
    </dataValidation>
    <dataValidation type="list" allowBlank="1" showInputMessage="1" showErrorMessage="1" sqref="E19" xr:uid="{3669BEB4-1136-4247-9A28-32067C45AAAF}">
      <formula1>$AL$31:$AL$56</formula1>
    </dataValidation>
    <dataValidation type="list" allowBlank="1" showInputMessage="1" showErrorMessage="1" sqref="E20" xr:uid="{0591449B-A80D-4926-BD1A-8285EBA9B22D}">
      <formula1>$AO$31:$AO$51</formula1>
    </dataValidation>
    <dataValidation type="list" allowBlank="1" showInputMessage="1" showErrorMessage="1" sqref="P10 G14" xr:uid="{B6A43E97-D122-4083-9B55-6858579AAFD2}">
      <formula1>$AY$31:$AY$35</formula1>
    </dataValidation>
    <dataValidation type="list" allowBlank="1" showInputMessage="1" showErrorMessage="1" sqref="G13 P9" xr:uid="{F783E7F0-F010-4A5E-8D19-D5ECD5D6DA30}">
      <formula1>$BF$31:$BF$32</formula1>
    </dataValidation>
    <dataValidation type="list" allowBlank="1" showInputMessage="1" showErrorMessage="1" sqref="P12 G16" xr:uid="{FC26D988-4E02-4738-8370-4CFC4BBF1506}">
      <formula1>$BD$31:$BD$35</formula1>
    </dataValidation>
    <dataValidation type="list" allowBlank="1" showInputMessage="1" showErrorMessage="1" sqref="G19" xr:uid="{65E7B370-7741-4969-A657-A32954F4F876}">
      <formula1>$BM$31:$BM$65</formula1>
    </dataValidation>
    <dataValidation type="list" allowBlank="1" showInputMessage="1" showErrorMessage="1" sqref="G20" xr:uid="{5C677D07-1CCF-48C5-ACAD-7BA73B80B888}">
      <formula1>$BP$31:$BP$91</formula1>
    </dataValidation>
    <dataValidation type="list" allowBlank="1" showInputMessage="1" showErrorMessage="1" sqref="G21" xr:uid="{F2835275-6B4B-48CB-B4B2-76EDE0B65DB3}">
      <formula1>$BS$31:$BS$61</formula1>
    </dataValidation>
    <dataValidation type="list" allowBlank="1" showInputMessage="1" showErrorMessage="1" sqref="E14" xr:uid="{F2DAB4C2-BB62-4D21-9A3F-BCF1684C79C1}">
      <formula1>$X$31:$X$51</formula1>
    </dataValidation>
    <dataValidation type="list" allowBlank="1" showInputMessage="1" showErrorMessage="1" sqref="E16" xr:uid="{2C499740-8D67-4A8C-8B91-4EA0C35661AA}">
      <formula1>$AF$31:$AF$48</formula1>
    </dataValidation>
    <dataValidation type="list" allowBlank="1" showInputMessage="1" showErrorMessage="1" sqref="P11 G15" xr:uid="{931F2A04-AD93-4E1C-AEDE-D217A5DCD0CF}">
      <formula1>$BB$31:$BB$33</formula1>
    </dataValidation>
  </dataValidations>
  <pageMargins left="0.7" right="0.7" top="0.75" bottom="0.75" header="0.3" footer="0.3"/>
  <pageSetup orientation="portrait" horizontalDpi="300" verticalDpi="300" r:id="rId1"/>
  <drawing r:id="rId2"/>
  <tableParts count="6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2808-71D9-49B9-BC7D-BBF3F0FB0D44}">
  <sheetPr codeName="Sheet2"/>
  <dimension ref="I4:T35"/>
  <sheetViews>
    <sheetView workbookViewId="0"/>
  </sheetViews>
  <sheetFormatPr defaultRowHeight="15" x14ac:dyDescent="0.25"/>
  <cols>
    <col min="1" max="18" width="9.140625" style="2"/>
    <col min="19" max="19" width="21" style="2" customWidth="1"/>
    <col min="20" max="16384" width="9.140625" style="2"/>
  </cols>
  <sheetData>
    <row r="4" spans="9:20" ht="15.75" thickBot="1" x14ac:dyDescent="0.3"/>
    <row r="5" spans="9:20" ht="31.5" customHeight="1" x14ac:dyDescent="0.25">
      <c r="I5" s="222" t="s">
        <v>824</v>
      </c>
      <c r="J5" s="223"/>
      <c r="K5" s="223"/>
      <c r="L5" s="223"/>
      <c r="M5" s="223"/>
      <c r="N5" s="223"/>
      <c r="O5" s="223"/>
      <c r="P5" s="223"/>
      <c r="Q5" s="223"/>
      <c r="R5" s="223"/>
      <c r="S5" s="223"/>
      <c r="T5" s="224"/>
    </row>
    <row r="6" spans="9:20" ht="15" customHeight="1" x14ac:dyDescent="0.25">
      <c r="I6" s="225"/>
      <c r="J6" s="226"/>
      <c r="K6" s="226"/>
      <c r="L6" s="226"/>
      <c r="M6" s="226"/>
      <c r="N6" s="226"/>
      <c r="O6" s="226"/>
      <c r="P6" s="226"/>
      <c r="Q6" s="226"/>
      <c r="R6" s="226"/>
      <c r="S6" s="226"/>
      <c r="T6" s="227"/>
    </row>
    <row r="7" spans="9:20" ht="15.75" customHeight="1" thickBot="1" x14ac:dyDescent="0.3">
      <c r="I7" s="225"/>
      <c r="J7" s="226"/>
      <c r="K7" s="226"/>
      <c r="L7" s="226"/>
      <c r="M7" s="226"/>
      <c r="N7" s="226"/>
      <c r="O7" s="226"/>
      <c r="P7" s="226"/>
      <c r="Q7" s="226"/>
      <c r="R7" s="226"/>
      <c r="S7" s="226"/>
      <c r="T7" s="227"/>
    </row>
    <row r="8" spans="9:20" ht="15.75" customHeight="1" x14ac:dyDescent="0.25">
      <c r="I8" s="28"/>
      <c r="J8" s="29"/>
      <c r="K8" s="29"/>
      <c r="L8" s="29"/>
      <c r="M8" s="29"/>
      <c r="N8" s="29"/>
      <c r="O8" s="29"/>
      <c r="P8" s="29"/>
      <c r="Q8" s="29"/>
      <c r="R8" s="29"/>
      <c r="S8" s="29"/>
      <c r="T8" s="30"/>
    </row>
    <row r="9" spans="9:20" ht="15" customHeight="1" x14ac:dyDescent="0.25">
      <c r="I9" s="31"/>
      <c r="J9" s="221" t="s">
        <v>849</v>
      </c>
      <c r="K9" s="221"/>
      <c r="L9" s="221"/>
      <c r="M9" s="221"/>
      <c r="N9" s="221"/>
      <c r="O9" s="221"/>
      <c r="P9" s="221"/>
      <c r="Q9" s="221"/>
      <c r="R9" s="221"/>
      <c r="S9" s="221"/>
      <c r="T9" s="32"/>
    </row>
    <row r="10" spans="9:20" x14ac:dyDescent="0.25">
      <c r="I10" s="31"/>
      <c r="J10" s="221"/>
      <c r="K10" s="221"/>
      <c r="L10" s="221"/>
      <c r="M10" s="221"/>
      <c r="N10" s="221"/>
      <c r="O10" s="221"/>
      <c r="P10" s="221"/>
      <c r="Q10" s="221"/>
      <c r="R10" s="221"/>
      <c r="S10" s="221"/>
      <c r="T10" s="32"/>
    </row>
    <row r="11" spans="9:20" x14ac:dyDescent="0.25">
      <c r="I11" s="31"/>
      <c r="J11" s="221"/>
      <c r="K11" s="221"/>
      <c r="L11" s="221"/>
      <c r="M11" s="221"/>
      <c r="N11" s="221"/>
      <c r="O11" s="221"/>
      <c r="P11" s="221"/>
      <c r="Q11" s="221"/>
      <c r="R11" s="221"/>
      <c r="S11" s="221"/>
      <c r="T11" s="32"/>
    </row>
    <row r="12" spans="9:20" x14ac:dyDescent="0.25">
      <c r="I12" s="31"/>
      <c r="J12" s="221"/>
      <c r="K12" s="221"/>
      <c r="L12" s="221"/>
      <c r="M12" s="221"/>
      <c r="N12" s="221"/>
      <c r="O12" s="221"/>
      <c r="P12" s="221"/>
      <c r="Q12" s="221"/>
      <c r="R12" s="221"/>
      <c r="S12" s="221"/>
      <c r="T12" s="32"/>
    </row>
    <row r="13" spans="9:20" x14ac:dyDescent="0.25">
      <c r="I13" s="31"/>
      <c r="J13" s="221"/>
      <c r="K13" s="221"/>
      <c r="L13" s="221"/>
      <c r="M13" s="221"/>
      <c r="N13" s="221"/>
      <c r="O13" s="221"/>
      <c r="P13" s="221"/>
      <c r="Q13" s="221"/>
      <c r="R13" s="221"/>
      <c r="S13" s="221"/>
      <c r="T13" s="32"/>
    </row>
    <row r="14" spans="9:20" x14ac:dyDescent="0.25">
      <c r="I14" s="31"/>
      <c r="J14" s="221"/>
      <c r="K14" s="221"/>
      <c r="L14" s="221"/>
      <c r="M14" s="221"/>
      <c r="N14" s="221"/>
      <c r="O14" s="221"/>
      <c r="P14" s="221"/>
      <c r="Q14" s="221"/>
      <c r="R14" s="221"/>
      <c r="S14" s="221"/>
      <c r="T14" s="32"/>
    </row>
    <row r="15" spans="9:20" x14ac:dyDescent="0.25">
      <c r="I15" s="31"/>
      <c r="J15" s="221"/>
      <c r="K15" s="221"/>
      <c r="L15" s="221"/>
      <c r="M15" s="221"/>
      <c r="N15" s="221"/>
      <c r="O15" s="221"/>
      <c r="P15" s="221"/>
      <c r="Q15" s="221"/>
      <c r="R15" s="221"/>
      <c r="S15" s="221"/>
      <c r="T15" s="32"/>
    </row>
    <row r="16" spans="9:20" x14ac:dyDescent="0.25">
      <c r="I16" s="31"/>
      <c r="J16" s="221"/>
      <c r="K16" s="221"/>
      <c r="L16" s="221"/>
      <c r="M16" s="221"/>
      <c r="N16" s="221"/>
      <c r="O16" s="221"/>
      <c r="P16" s="221"/>
      <c r="Q16" s="221"/>
      <c r="R16" s="221"/>
      <c r="S16" s="221"/>
      <c r="T16" s="32"/>
    </row>
    <row r="17" spans="9:20" x14ac:dyDescent="0.25">
      <c r="I17" s="31"/>
      <c r="J17" s="221"/>
      <c r="K17" s="221"/>
      <c r="L17" s="221"/>
      <c r="M17" s="221"/>
      <c r="N17" s="221"/>
      <c r="O17" s="221"/>
      <c r="P17" s="221"/>
      <c r="Q17" s="221"/>
      <c r="R17" s="221"/>
      <c r="S17" s="221"/>
      <c r="T17" s="32"/>
    </row>
    <row r="18" spans="9:20" ht="15" customHeight="1" x14ac:dyDescent="0.25">
      <c r="I18" s="31"/>
      <c r="J18" s="5"/>
      <c r="K18" s="33"/>
      <c r="L18" s="33"/>
      <c r="M18" s="33"/>
      <c r="N18" s="33"/>
      <c r="O18" s="33"/>
      <c r="P18" s="33"/>
      <c r="Q18" s="33"/>
      <c r="R18" s="33"/>
      <c r="S18" s="33"/>
      <c r="T18" s="32"/>
    </row>
    <row r="19" spans="9:20" ht="15" customHeight="1" x14ac:dyDescent="0.25">
      <c r="I19" s="31"/>
      <c r="J19" s="221" t="s">
        <v>822</v>
      </c>
      <c r="K19" s="221"/>
      <c r="L19" s="221"/>
      <c r="M19" s="221"/>
      <c r="N19" s="221"/>
      <c r="O19" s="221"/>
      <c r="P19" s="221"/>
      <c r="Q19" s="221"/>
      <c r="R19" s="221"/>
      <c r="S19" s="221"/>
      <c r="T19" s="32"/>
    </row>
    <row r="20" spans="9:20" ht="15" customHeight="1" x14ac:dyDescent="0.25">
      <c r="I20" s="31"/>
      <c r="J20" s="221"/>
      <c r="K20" s="221"/>
      <c r="L20" s="221"/>
      <c r="M20" s="221"/>
      <c r="N20" s="221"/>
      <c r="O20" s="221"/>
      <c r="P20" s="221"/>
      <c r="Q20" s="221"/>
      <c r="R20" s="221"/>
      <c r="S20" s="221"/>
      <c r="T20" s="32"/>
    </row>
    <row r="21" spans="9:20" x14ac:dyDescent="0.25">
      <c r="I21" s="31"/>
      <c r="J21" s="221"/>
      <c r="K21" s="221"/>
      <c r="L21" s="221"/>
      <c r="M21" s="221"/>
      <c r="N21" s="221"/>
      <c r="O21" s="221"/>
      <c r="P21" s="221"/>
      <c r="Q21" s="221"/>
      <c r="R21" s="221"/>
      <c r="S21" s="221"/>
      <c r="T21" s="32"/>
    </row>
    <row r="22" spans="9:20" x14ac:dyDescent="0.25">
      <c r="I22" s="31"/>
      <c r="J22" s="221"/>
      <c r="K22" s="221"/>
      <c r="L22" s="221"/>
      <c r="M22" s="221"/>
      <c r="N22" s="221"/>
      <c r="O22" s="221"/>
      <c r="P22" s="221"/>
      <c r="Q22" s="221"/>
      <c r="R22" s="221"/>
      <c r="S22" s="221"/>
      <c r="T22" s="32"/>
    </row>
    <row r="23" spans="9:20" x14ac:dyDescent="0.25">
      <c r="I23" s="31"/>
      <c r="J23" s="221"/>
      <c r="K23" s="221"/>
      <c r="L23" s="221"/>
      <c r="M23" s="221"/>
      <c r="N23" s="221"/>
      <c r="O23" s="221"/>
      <c r="P23" s="221"/>
      <c r="Q23" s="221"/>
      <c r="R23" s="221"/>
      <c r="S23" s="221"/>
      <c r="T23" s="32"/>
    </row>
    <row r="24" spans="9:20" ht="15" customHeight="1" x14ac:dyDescent="0.25">
      <c r="I24" s="31"/>
      <c r="J24" s="221"/>
      <c r="K24" s="221"/>
      <c r="L24" s="221"/>
      <c r="M24" s="221"/>
      <c r="N24" s="221"/>
      <c r="O24" s="221"/>
      <c r="P24" s="221"/>
      <c r="Q24" s="221"/>
      <c r="R24" s="221"/>
      <c r="S24" s="221"/>
      <c r="T24" s="32"/>
    </row>
    <row r="25" spans="9:20" x14ac:dyDescent="0.25">
      <c r="I25" s="31"/>
      <c r="J25" s="34"/>
      <c r="K25" s="34"/>
      <c r="L25" s="34"/>
      <c r="M25" s="34"/>
      <c r="N25" s="34"/>
      <c r="O25" s="34"/>
      <c r="P25" s="34"/>
      <c r="Q25" s="34"/>
      <c r="R25" s="34"/>
      <c r="S25" s="34"/>
      <c r="T25" s="32"/>
    </row>
    <row r="26" spans="9:20" x14ac:dyDescent="0.25">
      <c r="I26" s="31"/>
      <c r="J26" s="221" t="s">
        <v>823</v>
      </c>
      <c r="K26" s="221"/>
      <c r="L26" s="221"/>
      <c r="M26" s="221"/>
      <c r="N26" s="221"/>
      <c r="O26" s="221"/>
      <c r="P26" s="221"/>
      <c r="Q26" s="221"/>
      <c r="R26" s="221"/>
      <c r="S26" s="221"/>
      <c r="T26" s="32"/>
    </row>
    <row r="27" spans="9:20" x14ac:dyDescent="0.25">
      <c r="I27" s="31"/>
      <c r="J27" s="221"/>
      <c r="K27" s="221"/>
      <c r="L27" s="221"/>
      <c r="M27" s="221"/>
      <c r="N27" s="221"/>
      <c r="O27" s="221"/>
      <c r="P27" s="221"/>
      <c r="Q27" s="221"/>
      <c r="R27" s="221"/>
      <c r="S27" s="221"/>
      <c r="T27" s="32"/>
    </row>
    <row r="28" spans="9:20" x14ac:dyDescent="0.25">
      <c r="I28" s="31"/>
      <c r="J28" s="221"/>
      <c r="K28" s="221"/>
      <c r="L28" s="221"/>
      <c r="M28" s="221"/>
      <c r="N28" s="221"/>
      <c r="O28" s="221"/>
      <c r="P28" s="221"/>
      <c r="Q28" s="221"/>
      <c r="R28" s="221"/>
      <c r="S28" s="221"/>
      <c r="T28" s="32"/>
    </row>
    <row r="29" spans="9:20" x14ac:dyDescent="0.25">
      <c r="I29" s="31"/>
      <c r="J29" s="221"/>
      <c r="K29" s="221"/>
      <c r="L29" s="221"/>
      <c r="M29" s="221"/>
      <c r="N29" s="221"/>
      <c r="O29" s="221"/>
      <c r="P29" s="221"/>
      <c r="Q29" s="221"/>
      <c r="R29" s="221"/>
      <c r="S29" s="221"/>
      <c r="T29" s="32"/>
    </row>
    <row r="30" spans="9:20" x14ac:dyDescent="0.25">
      <c r="I30" s="31"/>
      <c r="J30" s="221"/>
      <c r="K30" s="221"/>
      <c r="L30" s="221"/>
      <c r="M30" s="221"/>
      <c r="N30" s="221"/>
      <c r="O30" s="221"/>
      <c r="P30" s="221"/>
      <c r="Q30" s="221"/>
      <c r="R30" s="221"/>
      <c r="S30" s="221"/>
      <c r="T30" s="32"/>
    </row>
    <row r="31" spans="9:20" x14ac:dyDescent="0.25">
      <c r="I31" s="31"/>
      <c r="J31" s="221"/>
      <c r="K31" s="221"/>
      <c r="L31" s="221"/>
      <c r="M31" s="221"/>
      <c r="N31" s="221"/>
      <c r="O31" s="221"/>
      <c r="P31" s="221"/>
      <c r="Q31" s="221"/>
      <c r="R31" s="221"/>
      <c r="S31" s="221"/>
      <c r="T31" s="32"/>
    </row>
    <row r="32" spans="9:20" ht="15.75" thickBot="1" x14ac:dyDescent="0.3">
      <c r="I32" s="35"/>
      <c r="J32" s="36"/>
      <c r="K32" s="36"/>
      <c r="L32" s="36"/>
      <c r="M32" s="36"/>
      <c r="N32" s="36"/>
      <c r="O32" s="36"/>
      <c r="P32" s="36"/>
      <c r="Q32" s="36"/>
      <c r="R32" s="36"/>
      <c r="S32" s="36"/>
      <c r="T32" s="37"/>
    </row>
    <row r="33" spans="10:19" x14ac:dyDescent="0.25">
      <c r="J33" s="1"/>
      <c r="K33" s="1"/>
      <c r="L33" s="1"/>
      <c r="M33" s="1"/>
      <c r="N33" s="1"/>
      <c r="O33" s="1"/>
      <c r="P33" s="1"/>
      <c r="Q33" s="1"/>
      <c r="R33" s="1"/>
      <c r="S33" s="1"/>
    </row>
    <row r="34" spans="10:19" x14ac:dyDescent="0.25">
      <c r="J34" s="3"/>
      <c r="K34" s="3"/>
      <c r="L34" s="3"/>
      <c r="M34" s="3"/>
      <c r="N34" s="3"/>
      <c r="O34" s="3"/>
      <c r="P34" s="3"/>
      <c r="Q34" s="3"/>
      <c r="R34" s="3"/>
      <c r="S34" s="3"/>
    </row>
    <row r="35" spans="10:19" x14ac:dyDescent="0.25">
      <c r="J35" s="3"/>
      <c r="K35" s="3"/>
      <c r="L35" s="3"/>
      <c r="M35" s="3"/>
      <c r="N35" s="3"/>
      <c r="O35" s="3"/>
      <c r="P35" s="3"/>
      <c r="Q35" s="3"/>
      <c r="R35" s="3"/>
      <c r="S35" s="3"/>
    </row>
  </sheetData>
  <sheetProtection algorithmName="SHA-512" hashValue="3IoS7wBLZupWTjyrGpRTZKWtvCAAHQwJiRh/3IxL5rEiQ26YwazUSD0yE6G/QkSA/IUyxB9O3jJCJvBQZKUKcA==" saltValue="rkk8/LI6dokKOvYNc1lkiw==" spinCount="100000" sheet="1" objects="1" scenarios="1"/>
  <mergeCells count="4">
    <mergeCell ref="J19:S24"/>
    <mergeCell ref="I5:T7"/>
    <mergeCell ref="J26:S31"/>
    <mergeCell ref="J9:S17"/>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61</vt:i4>
      </vt:variant>
    </vt:vector>
  </HeadingPairs>
  <TitlesOfParts>
    <vt:vector size="63" baseType="lpstr">
      <vt:lpstr>VLS</vt:lpstr>
      <vt:lpstr>DISCLAIMER</vt:lpstr>
      <vt:lpstr>eight</vt:lpstr>
      <vt:lpstr>eighteen</vt:lpstr>
      <vt:lpstr>eleven</vt:lpstr>
      <vt:lpstr>fifteen</vt:lpstr>
      <vt:lpstr>fifty</vt:lpstr>
      <vt:lpstr>fiftyeight</vt:lpstr>
      <vt:lpstr>fiftyfive</vt:lpstr>
      <vt:lpstr>fiftyfour</vt:lpstr>
      <vt:lpstr>fiftynine</vt:lpstr>
      <vt:lpstr>fiftyone</vt:lpstr>
      <vt:lpstr>fiftyseven</vt:lpstr>
      <vt:lpstr>fiftysix</vt:lpstr>
      <vt:lpstr>fiftythree</vt:lpstr>
      <vt:lpstr>fiftytwo</vt:lpstr>
      <vt:lpstr>five</vt:lpstr>
      <vt:lpstr>four</vt:lpstr>
      <vt:lpstr>fourteen</vt:lpstr>
      <vt:lpstr>fourty</vt:lpstr>
      <vt:lpstr>fourtyeight</vt:lpstr>
      <vt:lpstr>fourtyfive</vt:lpstr>
      <vt:lpstr>fourtyfour</vt:lpstr>
      <vt:lpstr>fourtynine</vt:lpstr>
      <vt:lpstr>fourtyone</vt:lpstr>
      <vt:lpstr>fourtyseven</vt:lpstr>
      <vt:lpstr>fourtysix</vt:lpstr>
      <vt:lpstr>fourtythree</vt:lpstr>
      <vt:lpstr>fourtytwo</vt:lpstr>
      <vt:lpstr>nine</vt:lpstr>
      <vt:lpstr>ninteen</vt:lpstr>
      <vt:lpstr>one</vt:lpstr>
      <vt:lpstr>seven</vt:lpstr>
      <vt:lpstr>seventeen</vt:lpstr>
      <vt:lpstr>six</vt:lpstr>
      <vt:lpstr>sixteen</vt:lpstr>
      <vt:lpstr>sixty</vt:lpstr>
      <vt:lpstr>ten</vt:lpstr>
      <vt:lpstr>thirteen</vt:lpstr>
      <vt:lpstr>thirty</vt:lpstr>
      <vt:lpstr>thirtyeight</vt:lpstr>
      <vt:lpstr>thirtyfive</vt:lpstr>
      <vt:lpstr>thirtyfour</vt:lpstr>
      <vt:lpstr>thirtynine</vt:lpstr>
      <vt:lpstr>thirtyone</vt:lpstr>
      <vt:lpstr>thirtyseven</vt:lpstr>
      <vt:lpstr>thirtysix</vt:lpstr>
      <vt:lpstr>thirtythree</vt:lpstr>
      <vt:lpstr>thirtytwo</vt:lpstr>
      <vt:lpstr>three</vt:lpstr>
      <vt:lpstr>twelve</vt:lpstr>
      <vt:lpstr>twenty</vt:lpstr>
      <vt:lpstr>twentyeight</vt:lpstr>
      <vt:lpstr>twentyfive</vt:lpstr>
      <vt:lpstr>twentyfour</vt:lpstr>
      <vt:lpstr>twentynine</vt:lpstr>
      <vt:lpstr>twentyone</vt:lpstr>
      <vt:lpstr>twentyseven</vt:lpstr>
      <vt:lpstr>twentysix</vt:lpstr>
      <vt:lpstr>twentythree</vt:lpstr>
      <vt:lpstr>twentytwo</vt:lpstr>
      <vt:lpstr>two</vt:lpstr>
      <vt:lpstr>zero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Hoskins</dc:creator>
  <cp:lastModifiedBy>Alex Hoskins</cp:lastModifiedBy>
  <cp:lastPrinted>2020-05-07T22:32:50Z</cp:lastPrinted>
  <dcterms:created xsi:type="dcterms:W3CDTF">2015-06-05T18:17:20Z</dcterms:created>
  <dcterms:modified xsi:type="dcterms:W3CDTF">2020-11-03T15:31:29Z</dcterms:modified>
</cp:coreProperties>
</file>